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mx48ROZUfiUw/0cIo/rN9t49KrRQfiShGyqkdsm4H/j+q31vQjNzTbOMvUskIdMIEUMzqP93qgXpBKjmj4wRwQ==" workbookSaltValue="xtm/6VirpxLVI83TB5L91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23" i="2"/>
  <c r="G26" i="2"/>
  <c r="N23" i="2"/>
  <c r="K30" i="2"/>
  <c r="F30" i="17"/>
  <c r="BK21" i="11"/>
  <c r="V13" i="11"/>
  <c r="AP22" i="20"/>
  <c r="BL25" i="11"/>
  <c r="BM20" i="11"/>
  <c r="BU28" i="17"/>
  <c r="BW9" i="20"/>
  <c r="BV17" i="16"/>
  <c r="BV25" i="16"/>
  <c r="U10" i="17"/>
  <c r="BU18" i="17"/>
  <c r="BV20" i="16"/>
  <c r="T14" i="16"/>
  <c r="AZ22" i="11"/>
  <c r="X16" i="17"/>
  <c r="P16" i="17"/>
  <c r="BH25" i="16"/>
  <c r="BJ10" i="11"/>
  <c r="BH11" i="11"/>
  <c r="S18" i="17"/>
  <c r="BM9" i="11"/>
  <c r="BH12" i="16"/>
  <c r="BK22" i="11"/>
  <c r="T14" i="20"/>
  <c r="BF25" i="8"/>
  <c r="BG16" i="8"/>
  <c r="BD9" i="8"/>
  <c r="L10" i="2"/>
  <c r="C30" i="7"/>
  <c r="S17" i="17"/>
  <c r="L25" i="2"/>
  <c r="X10" i="21"/>
  <c r="AO14" i="21"/>
  <c r="L19" i="2"/>
  <c r="L9" i="2"/>
  <c r="AP14" i="16"/>
  <c r="V25" i="16"/>
  <c r="T23" i="17"/>
  <c r="T26" i="17" s="1"/>
  <c r="T30" i="17" s="1"/>
  <c r="BG16" i="13"/>
  <c r="BE17" i="13"/>
  <c r="BE16" i="13"/>
  <c r="X32" i="20"/>
  <c r="G23" i="14"/>
  <c r="G30" i="14"/>
  <c r="H21" i="2" l="1"/>
  <c r="BF17" i="8"/>
  <c r="AY14" i="8"/>
  <c r="F14" i="7"/>
  <c r="X13" i="16"/>
  <c r="U9" i="17"/>
  <c r="U31" i="17" s="1"/>
  <c r="L13" i="2"/>
  <c r="L12" i="2"/>
  <c r="S16" i="17"/>
  <c r="X21" i="20"/>
  <c r="L28" i="2"/>
  <c r="BH22" i="11"/>
  <c r="BL17" i="11"/>
  <c r="BJ17" i="11"/>
  <c r="AO25" i="17"/>
  <c r="BM21" i="11"/>
  <c r="BG17" i="11"/>
  <c r="BI29" i="11"/>
  <c r="BK20" i="11"/>
  <c r="BF12" i="11"/>
  <c r="T17" i="11"/>
  <c r="R28" i="14"/>
  <c r="S11" i="17"/>
  <c r="BV10" i="16"/>
  <c r="BW16" i="20"/>
  <c r="BW17" i="20"/>
  <c r="BU21" i="17"/>
  <c r="BU11" i="17"/>
  <c r="BJ28" i="11"/>
  <c r="AZ9" i="11"/>
  <c r="AZ14" i="11" s="1"/>
  <c r="AZ13" i="11"/>
  <c r="BI19" i="11"/>
  <c r="BI25" i="11"/>
  <c r="Z14" i="17"/>
  <c r="BD12" i="8"/>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Q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H32" i="20"/>
  <c r="O18" i="11"/>
  <c r="AB32" i="20"/>
  <c r="AI32" i="20"/>
  <c r="R32" i="20"/>
  <c r="AA32" i="20"/>
  <c r="G14" i="14"/>
  <c r="AC32" i="20"/>
  <c r="Z32" i="20"/>
  <c r="T32" i="20"/>
  <c r="AM32" i="20"/>
  <c r="Q32" i="20"/>
  <c r="W32" i="21"/>
  <c r="E32" i="20"/>
  <c r="AV32" i="20"/>
  <c r="O32" i="20"/>
  <c r="AQ32" i="21"/>
  <c r="Y32" i="20"/>
  <c r="L32" i="20"/>
  <c r="AJ32" i="20"/>
  <c r="I32" i="20"/>
  <c r="S32" i="20"/>
  <c r="N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AN32" i="16"/>
  <c r="AL32" i="16"/>
  <c r="H32" i="11"/>
  <c r="AR32" i="20"/>
  <c r="AH32" i="11"/>
  <c r="M32" i="21"/>
  <c r="F32" i="11"/>
  <c r="V32" i="17"/>
  <c r="Y32" i="16"/>
  <c r="E32" i="16"/>
  <c r="AI32" i="16"/>
  <c r="L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R32" i="17"/>
  <c r="AO32" i="17"/>
  <c r="BF32" i="16"/>
  <c r="AH32" i="16"/>
  <c r="W32" i="17"/>
  <c r="I32" i="16"/>
  <c r="AM32" i="17"/>
  <c r="P32" i="11"/>
  <c r="AI32" i="17"/>
  <c r="BK32" i="16"/>
  <c r="AT32" i="20"/>
  <c r="AP32" i="21"/>
  <c r="BI32" i="16"/>
  <c r="O32" i="17"/>
  <c r="N32" i="21"/>
  <c r="R32" i="16"/>
  <c r="AL32" i="21"/>
  <c r="BN32" i="16"/>
  <c r="AZ32" i="16"/>
  <c r="AD32" i="11"/>
  <c r="AB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<sst xmlns="http://schemas.openxmlformats.org/spreadsheetml/2006/main" count="2682" uniqueCount="1193">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</sst>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UljkrwIci1RU7MV0ITrbTrqFlA3CmnjgX79Cgw7ynowc1zpXWw1MJCVZQ2nfN9P34Cbv+jTTknyRks7xiRlFQ==" saltValue="LWMFfEwy1qt0hLhqykak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301</v>
      </c>
      <c r="F17" s="240">
        <f>IF(ISNUMBER(IF(D_I="SI",Datos!K17,Datos!K17+Datos!AE17)),IF(D_I="SI",Datos!K17,Datos!K17+Datos!AE17)," - ")</f>
        <v>305</v>
      </c>
      <c r="G17" s="1390" t="str">
        <f>IF(Datos!E17&lt;&gt;"",Datos!E17,Datos!D17)</f>
        <v>04</v>
      </c>
      <c r="H17" s="241">
        <f>IF(ISNUMBER(IF(D_I="SI",Datos!L17,Datos!L17+Datos!AF17)),IF(D_I="SI",Datos!L17,Datos!L17+Datos!AF17)," - ")</f>
        <v>78</v>
      </c>
      <c r="I17" s="1400" t="str">
        <f>IF(ISNUMBER(Datos!AS17/Datos!BM17),Datos!AS17/Datos!BM17," - ")</f>
        <v xml:space="preserve"> - </v>
      </c>
      <c r="J17" s="1401">
        <f>IF(ISNUMBER(Datos!BY17/Datos!CN17),Datos!BY17/Datos!CN17," - ")</f>
        <v>0</v>
      </c>
      <c r="K17" s="244">
        <f t="shared" si="3"/>
        <v>-4.878048780487805E-2</v>
      </c>
      <c r="L17" s="1402">
        <f>IF(ISNUMBER(NºAsuntos!I17/NºAsuntos!G17),(NºAsuntos!I17/NºAsuntos!G17)*11," - ")</f>
        <v>2.8131147540983603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23</v>
      </c>
      <c r="F18" s="240">
        <f>IF(ISNUMBER(IF(D_I="SI",Datos!K18,Datos!K18+Datos!AE18)),IF(D_I="SI",Datos!K18,Datos!K18+Datos!AE18)," - ")</f>
        <v>22</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324</v>
      </c>
      <c r="F23" s="1408">
        <f>SUBTOTAL(9,F16:F22)</f>
        <v>327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v>
      </c>
      <c r="D31" s="1435">
        <f>SUBTOTAL(9,D9:D30)</f>
        <v>86</v>
      </c>
      <c r="E31" s="1436">
        <f>SUBTOTAL(9,E9:E30)</f>
        <v>324</v>
      </c>
      <c r="F31" s="1436">
        <f>SUBTOTAL(9,F9:F30)</f>
        <v>327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erj6XHm61h/2m3VVxPeLfMmgtsiCoTpAZBKFi7ED5+cTAtIogquJDhTjHmTVuVQ9LFtkFcV252czBNimVCE4Q==" saltValue="Mg85+AfxYMoV5Ns0vjoqa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rzau11SPh3u75BAs5qT+9RI8Xpiqg9s3Tgw6FQxlikA17189iXzUiIF/+bwh/uusU5gcjOD6N4CbOrjY4VAFw==" saltValue="B72sl8SSGlmtat6v/Rm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v>
      </c>
      <c r="J12" s="196">
        <v>223</v>
      </c>
      <c r="K12" s="196">
        <v>205</v>
      </c>
      <c r="L12" s="196">
        <v>173</v>
      </c>
      <c r="M12" s="196">
        <v>56</v>
      </c>
      <c r="N12" s="196">
        <v>83</v>
      </c>
      <c r="O12" s="194">
        <v>113</v>
      </c>
      <c r="P12" s="196">
        <v>62</v>
      </c>
      <c r="Q12" s="196">
        <v>23</v>
      </c>
      <c r="R12" s="196">
        <v>435</v>
      </c>
      <c r="S12" s="196">
        <v>119</v>
      </c>
      <c r="T12" s="196">
        <v>190</v>
      </c>
      <c r="U12" s="196">
        <v>187</v>
      </c>
      <c r="V12" s="196">
        <v>122</v>
      </c>
      <c r="W12" s="196">
        <v>51</v>
      </c>
      <c r="X12" s="202">
        <v>74</v>
      </c>
      <c r="Y12" s="204">
        <v>49</v>
      </c>
      <c r="Z12" s="194">
        <v>22</v>
      </c>
      <c r="AA12" s="194">
        <v>31</v>
      </c>
      <c r="AB12" s="194">
        <v>4</v>
      </c>
      <c r="AC12" s="196">
        <v>0</v>
      </c>
      <c r="AD12" s="196">
        <v>0</v>
      </c>
      <c r="AE12" s="196">
        <v>0</v>
      </c>
      <c r="AF12" s="202">
        <v>0</v>
      </c>
      <c r="AG12" s="215">
        <v>40</v>
      </c>
      <c r="AH12" s="196">
        <v>28</v>
      </c>
      <c r="AI12" s="196">
        <v>19</v>
      </c>
      <c r="AJ12" s="216">
        <v>49</v>
      </c>
      <c r="AK12" s="195">
        <v>0</v>
      </c>
      <c r="AL12" s="196">
        <v>0</v>
      </c>
      <c r="AM12" s="196">
        <v>0</v>
      </c>
      <c r="AN12" s="202">
        <v>0</v>
      </c>
      <c r="AO12" s="283">
        <v>1</v>
      </c>
      <c r="AP12" s="168">
        <v>1</v>
      </c>
      <c r="AQ12" s="168">
        <v>1</v>
      </c>
      <c r="AR12" s="167">
        <v>1</v>
      </c>
      <c r="AS12" s="381" t="s">
        <v>1075</v>
      </c>
      <c r="AT12" s="216"/>
      <c r="AU12" s="215"/>
      <c r="AV12" s="216"/>
      <c r="AW12" s="215"/>
      <c r="AX12" s="216"/>
      <c r="AY12" s="136">
        <f t="shared" si="1"/>
        <v>159</v>
      </c>
      <c r="AZ12" s="137">
        <f t="shared" si="1"/>
        <v>218</v>
      </c>
      <c r="BA12" s="137">
        <f t="shared" si="1"/>
        <v>206</v>
      </c>
      <c r="BB12" s="137">
        <f t="shared" si="1"/>
        <v>171</v>
      </c>
      <c r="BC12" s="135">
        <f>IF(ISNUMBER(X12),X12," - ")</f>
        <v>74</v>
      </c>
      <c r="BD12" s="136">
        <f t="shared" si="2"/>
        <v>0.94495412844036697</v>
      </c>
      <c r="BE12" s="137">
        <f t="shared" si="3"/>
        <v>0.83009708737864074</v>
      </c>
      <c r="BF12" s="137">
        <f t="shared" si="4"/>
        <v>0.35922330097087379</v>
      </c>
      <c r="BG12" s="209">
        <f t="shared" si="5"/>
        <v>1.8300970873786409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v>
      </c>
      <c r="J14" s="197">
        <f t="shared" si="7"/>
        <v>223</v>
      </c>
      <c r="K14" s="197">
        <f t="shared" si="7"/>
        <v>205</v>
      </c>
      <c r="L14" s="197">
        <f t="shared" si="7"/>
        <v>174</v>
      </c>
      <c r="M14" s="197">
        <f t="shared" si="7"/>
        <v>56</v>
      </c>
      <c r="N14" s="197">
        <f t="shared" si="7"/>
        <v>83</v>
      </c>
      <c r="O14" s="197">
        <f t="shared" si="7"/>
        <v>113</v>
      </c>
      <c r="P14" s="197">
        <f t="shared" si="7"/>
        <v>62</v>
      </c>
      <c r="Q14" s="197">
        <f t="shared" si="7"/>
        <v>23</v>
      </c>
      <c r="R14" s="197">
        <f t="shared" si="7"/>
        <v>435</v>
      </c>
      <c r="S14" s="197">
        <f t="shared" si="7"/>
        <v>119</v>
      </c>
      <c r="T14" s="197">
        <f t="shared" si="7"/>
        <v>191</v>
      </c>
      <c r="U14" s="197">
        <f t="shared" si="7"/>
        <v>187</v>
      </c>
      <c r="V14" s="197">
        <f t="shared" si="7"/>
        <v>123</v>
      </c>
      <c r="W14" s="197">
        <f t="shared" si="7"/>
        <v>51</v>
      </c>
      <c r="X14" s="197">
        <f t="shared" si="7"/>
        <v>74</v>
      </c>
      <c r="Y14" s="197">
        <f t="shared" si="7"/>
        <v>49</v>
      </c>
      <c r="Z14" s="197">
        <f t="shared" si="7"/>
        <v>22</v>
      </c>
      <c r="AA14" s="197">
        <f t="shared" si="7"/>
        <v>31</v>
      </c>
      <c r="AB14" s="197">
        <f t="shared" si="7"/>
        <v>4</v>
      </c>
      <c r="AC14" s="197">
        <f t="shared" si="7"/>
        <v>0</v>
      </c>
      <c r="AD14" s="197">
        <f t="shared" si="7"/>
        <v>0</v>
      </c>
      <c r="AE14" s="197">
        <f t="shared" si="7"/>
        <v>0</v>
      </c>
      <c r="AF14" s="197">
        <f>SUBTOTAL(9,AF9:AF13)</f>
        <v>0</v>
      </c>
      <c r="AG14" s="197">
        <f t="shared" ref="AG14:AT14" si="8">SUBTOTAL(9,AG8:AG13)</f>
        <v>40</v>
      </c>
      <c r="AH14" s="197">
        <f t="shared" si="8"/>
        <v>28</v>
      </c>
      <c r="AI14" s="197">
        <f t="shared" si="8"/>
        <v>19</v>
      </c>
      <c r="AJ14" s="197">
        <f t="shared" si="8"/>
        <v>49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159</v>
      </c>
      <c r="AZ14" s="197">
        <f>SUBTOTAL(9,AZ8:AZ13)</f>
        <v>219</v>
      </c>
      <c r="BA14" s="197">
        <f>SUBTOTAL(9,BA8:BA13)</f>
        <v>206</v>
      </c>
      <c r="BB14" s="197">
        <f>SUBTOTAL(9,BB8:BB13)</f>
        <v>172</v>
      </c>
      <c r="BC14" s="197">
        <f>SUBTOTAL(9,BC8:BC13)</f>
        <v>74</v>
      </c>
      <c r="BD14" s="219">
        <f>IF(ISNUMBER(BA14/AZ14),BA14/AZ14," - ")</f>
        <v>0.94063926940639264</v>
      </c>
      <c r="BE14" s="220">
        <f>IF(ISNUMBER(BB14/BA14),BB14/BA14, " - ")</f>
        <v>0.83495145631067957</v>
      </c>
      <c r="BF14" s="220">
        <f>IF(ISNUMBER(BC14/BA14),BC14/BA14, " - ")</f>
        <v>0.35922330097087379</v>
      </c>
      <c r="BG14" s="221">
        <f>IF(ISNUMBER((AY14+AZ14)/BA14),(AY14+AZ14)/BA14," - ")</f>
        <v>1.8349514563106797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301</v>
      </c>
      <c r="K17" s="196">
        <v>305</v>
      </c>
      <c r="L17" s="196">
        <v>78</v>
      </c>
      <c r="M17" s="196">
        <v>31</v>
      </c>
      <c r="N17" s="196">
        <v>193</v>
      </c>
      <c r="O17" s="194">
        <v>4</v>
      </c>
      <c r="P17" s="196">
        <v>13</v>
      </c>
      <c r="Q17" s="196">
        <v>10</v>
      </c>
      <c r="R17" s="196">
        <v>13</v>
      </c>
      <c r="S17" s="196">
        <v>84</v>
      </c>
      <c r="T17" s="196">
        <v>189</v>
      </c>
      <c r="U17" s="196">
        <v>191</v>
      </c>
      <c r="V17" s="196">
        <v>82</v>
      </c>
      <c r="W17" s="196">
        <v>29</v>
      </c>
      <c r="X17" s="202">
        <v>110</v>
      </c>
      <c r="Y17" s="215">
        <v>0</v>
      </c>
      <c r="Z17" s="196">
        <v>0</v>
      </c>
      <c r="AA17" s="196">
        <v>0</v>
      </c>
      <c r="AB17" s="196">
        <v>0</v>
      </c>
      <c r="AC17" s="196">
        <v>0</v>
      </c>
      <c r="AD17" s="196">
        <v>2</v>
      </c>
      <c r="AE17" s="196">
        <v>2</v>
      </c>
      <c r="AF17" s="202">
        <v>0</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84</v>
      </c>
      <c r="AZ17" s="137">
        <f t="shared" si="10"/>
        <v>189</v>
      </c>
      <c r="BA17" s="137">
        <f t="shared" si="10"/>
        <v>191</v>
      </c>
      <c r="BB17" s="137">
        <f t="shared" si="10"/>
        <v>82</v>
      </c>
      <c r="BC17" s="135">
        <f>IF(ISNUMBER(W17),W17," - ")</f>
        <v>29</v>
      </c>
      <c r="BD17" s="136">
        <f t="shared" ref="BD17:BD22" si="12">IF(ISNUMBER(BA17/AZ17),BA17/AZ17," - ")</f>
        <v>1.0105820105820107</v>
      </c>
      <c r="BE17" s="137">
        <f t="shared" ref="BE17:BE22" si="13">IF(ISNUMBER(BB17/BA17),BB17/BA17, " - ")</f>
        <v>0.4293193717277487</v>
      </c>
      <c r="BF17" s="137">
        <f t="shared" ref="BF17:BF22" si="14">IF(ISNUMBER(BC17/BA17),BC17/BA17, " - ")</f>
        <v>0.15183246073298429</v>
      </c>
      <c r="BG17" s="209">
        <f t="shared" si="11"/>
        <v>1.4293193717277486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23</v>
      </c>
      <c r="K18" s="196">
        <v>22</v>
      </c>
      <c r="L18" s="196">
        <v>4</v>
      </c>
      <c r="M18" s="196">
        <v>2</v>
      </c>
      <c r="N18" s="196">
        <v>14</v>
      </c>
      <c r="O18" s="196">
        <v>0</v>
      </c>
      <c r="P18" s="196">
        <v>0</v>
      </c>
      <c r="Q18" s="196">
        <v>0</v>
      </c>
      <c r="R18" s="196">
        <v>0</v>
      </c>
      <c r="S18" s="196">
        <v>1</v>
      </c>
      <c r="T18" s="196">
        <v>14</v>
      </c>
      <c r="U18" s="196">
        <v>12</v>
      </c>
      <c r="V18" s="196">
        <v>3</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14</v>
      </c>
      <c r="BA18" s="139">
        <f t="shared" si="15"/>
        <v>12</v>
      </c>
      <c r="BB18" s="139">
        <f t="shared" si="15"/>
        <v>3</v>
      </c>
      <c r="BC18" s="135">
        <f>IF(ISNUMBER(W18),W18," - ")</f>
        <v>2</v>
      </c>
      <c r="BD18" s="136">
        <f>IF(ISNUMBER(BA18/AZ18),BA18/AZ18," - ")</f>
        <v>0.8571428571428571</v>
      </c>
      <c r="BE18" s="137">
        <f>IF(ISNUMBER(BB18/BA18),BB18/BA18, " - ")</f>
        <v>0.25</v>
      </c>
      <c r="BF18" s="137">
        <f>IF(ISNUMBER(BC18/BA18),BC18/BA18, " - ")</f>
        <v>0.16666666666666666</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324</v>
      </c>
      <c r="K23" s="197">
        <f t="shared" si="21"/>
        <v>327</v>
      </c>
      <c r="L23" s="197">
        <f t="shared" si="21"/>
        <v>82</v>
      </c>
      <c r="M23" s="197">
        <f t="shared" si="21"/>
        <v>33</v>
      </c>
      <c r="N23" s="197">
        <f t="shared" si="21"/>
        <v>207</v>
      </c>
      <c r="O23" s="197">
        <f t="shared" si="21"/>
        <v>4</v>
      </c>
      <c r="P23" s="197">
        <f t="shared" si="21"/>
        <v>13</v>
      </c>
      <c r="Q23" s="197">
        <f t="shared" si="21"/>
        <v>10</v>
      </c>
      <c r="R23" s="197">
        <f t="shared" si="21"/>
        <v>13</v>
      </c>
      <c r="S23" s="197">
        <f t="shared" si="21"/>
        <v>85</v>
      </c>
      <c r="T23" s="197">
        <f t="shared" si="21"/>
        <v>203</v>
      </c>
      <c r="U23" s="197">
        <f t="shared" si="21"/>
        <v>203</v>
      </c>
      <c r="V23" s="197">
        <f t="shared" si="21"/>
        <v>85</v>
      </c>
      <c r="W23" s="197">
        <f t="shared" si="21"/>
        <v>31</v>
      </c>
      <c r="X23" s="197">
        <f t="shared" si="21"/>
        <v>119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203</v>
      </c>
      <c r="BA23" s="197">
        <f>SUBTOTAL(9,BA15:BA22)</f>
        <v>203</v>
      </c>
      <c r="BB23" s="197">
        <f>SUBTOTAL(9,BB15:BB22)</f>
        <v>85</v>
      </c>
      <c r="BC23" s="197">
        <f>SUBTOTAL(9,BC15:BC22)</f>
        <v>31</v>
      </c>
      <c r="BD23" s="219">
        <f>IF(ISNUMBER(BA23/AZ23),BA23/AZ23," - ")</f>
        <v>1</v>
      </c>
      <c r="BE23" s="220">
        <f>IF(ISNUMBER(BB23/BA23),BB23/BA23, " - ")</f>
        <v>0.41871921182266009</v>
      </c>
      <c r="BF23" s="220">
        <f>IF(ISNUMBER(BC23/BA23),BC23/BA23, " - ")</f>
        <v>0.15270935960591134</v>
      </c>
      <c r="BG23" s="221">
        <f>IF(ISNUMBER((AY23+AZ23)/BA23),(AY23+AZ23)/BA23," - ")</f>
        <v>1.4187192118226601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208</v>
      </c>
      <c r="J31" s="144">
        <f t="shared" si="36"/>
        <v>547</v>
      </c>
      <c r="K31" s="144">
        <f t="shared" si="36"/>
        <v>532</v>
      </c>
      <c r="L31" s="144">
        <f t="shared" si="36"/>
        <v>256</v>
      </c>
      <c r="M31" s="144">
        <f t="shared" si="36"/>
        <v>89</v>
      </c>
      <c r="N31" s="144">
        <f t="shared" si="36"/>
        <v>290</v>
      </c>
      <c r="O31" s="144">
        <f t="shared" si="36"/>
        <v>117</v>
      </c>
      <c r="P31" s="144">
        <f t="shared" si="36"/>
        <v>75</v>
      </c>
      <c r="Q31" s="144">
        <f t="shared" si="36"/>
        <v>33</v>
      </c>
      <c r="R31" s="144">
        <f t="shared" si="36"/>
        <v>448</v>
      </c>
      <c r="S31" s="144">
        <f t="shared" si="36"/>
        <v>204</v>
      </c>
      <c r="T31" s="144">
        <f t="shared" si="36"/>
        <v>394</v>
      </c>
      <c r="U31" s="144">
        <f t="shared" si="36"/>
        <v>390</v>
      </c>
      <c r="V31" s="144">
        <f t="shared" si="36"/>
        <v>208</v>
      </c>
      <c r="W31" s="144">
        <f t="shared" si="36"/>
        <v>82</v>
      </c>
      <c r="X31" s="144">
        <f t="shared" si="36"/>
        <v>193</v>
      </c>
      <c r="Y31" s="144">
        <f t="shared" si="36"/>
        <v>49</v>
      </c>
      <c r="Z31" s="144">
        <f t="shared" si="36"/>
        <v>22</v>
      </c>
      <c r="AA31" s="144">
        <f t="shared" si="36"/>
        <v>31</v>
      </c>
      <c r="AB31" s="144">
        <f t="shared" si="36"/>
        <v>4</v>
      </c>
      <c r="AC31" s="144">
        <f t="shared" si="36"/>
        <v>0</v>
      </c>
      <c r="AD31" s="144">
        <f t="shared" si="36"/>
        <v>2</v>
      </c>
      <c r="AE31" s="144">
        <f t="shared" si="36"/>
        <v>2</v>
      </c>
      <c r="AF31" s="144">
        <f t="shared" si="36"/>
        <v>0</v>
      </c>
      <c r="AG31" s="144">
        <f t="shared" si="36"/>
        <v>40</v>
      </c>
      <c r="AH31" s="144">
        <f t="shared" si="36"/>
        <v>28</v>
      </c>
      <c r="AI31" s="144">
        <f t="shared" si="36"/>
        <v>19</v>
      </c>
      <c r="AJ31" s="144">
        <f t="shared" si="36"/>
        <v>49</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244</v>
      </c>
      <c r="AZ31" s="144">
        <f>SUBTOTAL(9,AZ9:AZ30)</f>
        <v>422</v>
      </c>
      <c r="BA31" s="144">
        <f>SUBTOTAL(9,BA9:BA30)</f>
        <v>409</v>
      </c>
      <c r="BB31" s="144">
        <f>SUBTOTAL(9,BB9:BB30)</f>
        <v>257</v>
      </c>
      <c r="BC31" s="145">
        <f>SUBTOTAL(9,BC9:BC30)</f>
        <v>105</v>
      </c>
      <c r="BD31" s="227">
        <f>IF(ISNUMBER(BA31/AZ31),BA31/AZ31," - ")</f>
        <v>0.96919431279620849</v>
      </c>
      <c r="BE31" s="224">
        <f>IF(ISNUMBER(BB31/BA31),BB31/BA31, " - ")</f>
        <v>0.628361858190709</v>
      </c>
      <c r="BF31" s="224">
        <f>IF(ISNUMBER(BC31/BA31),BC31/BA31, " - ")</f>
        <v>0.25672371638141811</v>
      </c>
      <c r="BG31" s="145">
        <f>IF(ISNUMBER((AY31+AZ31)/BA31),(AY31+AZ31)/BA31," - ")</f>
        <v>1.6283618581907091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pedmelnAJQH32xc43GCNa6tsHj1YbuGp6oDlNIAbQUM939+9p8trgXLpsQ14YloQLWQLc+U4h4Km9CzeDIZNg==" saltValue="bkkfquUI3UCCqxv/hnE1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87YbcCkd/dscQAHlTiFUN6oMe81rQS6UrP4S4PJn0z/EyVxxrjmbA9TboKC0EC9tpY7kp6kdaUdsu0ION9/A==" saltValue="Z+78BlOAB+MiQmwHpX6g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ALCARAZ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435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0.96326530612244898</v>
      </c>
      <c r="BH12" s="764">
        <f>IF(ISNUMBER(((IF(J_V="SI",Datos!L12/Datos!K12,(Datos!L12+Datos!AB12)/(Datos!K12+Datos!AA12)))*11)/factor_trimestre),((IF(J_V="SI",Datos!L12/Datos!K12,(Datos!L12+Datos!AB12)/(Datos!K12+Datos!AA12)))*11)/factor_trimestre," - ")</f>
        <v>8.25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9.8484848484848481E-2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23</v>
      </c>
      <c r="AD14" s="1198">
        <f t="shared" si="2"/>
        <v>0</v>
      </c>
      <c r="AE14" s="1198">
        <f t="shared" si="2"/>
        <v>0</v>
      </c>
      <c r="AF14" s="1198">
        <f t="shared" si="2"/>
        <v>1</v>
      </c>
      <c r="AG14" s="1198">
        <f t="shared" si="2"/>
        <v>0</v>
      </c>
      <c r="AH14" s="1198">
        <f t="shared" si="2"/>
        <v>4</v>
      </c>
      <c r="AI14" s="1198">
        <f t="shared" si="2"/>
        <v>0</v>
      </c>
      <c r="AJ14" s="1198">
        <f t="shared" si="2"/>
        <v>0</v>
      </c>
      <c r="AK14" s="1198">
        <f t="shared" si="2"/>
        <v>0</v>
      </c>
      <c r="AL14" s="1198">
        <f t="shared" si="2"/>
        <v>0</v>
      </c>
      <c r="AM14" s="1198">
        <f t="shared" si="2"/>
        <v>435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83</v>
      </c>
      <c r="BE14" s="1198">
        <f t="shared" si="2"/>
        <v>0</v>
      </c>
      <c r="BF14" s="1198">
        <f t="shared" si="2"/>
        <v>0</v>
      </c>
      <c r="BG14" s="1198">
        <f>IF(ISNUMBER(Datos!K14/Datos!J14),Datos!K14/Datos!J14," - ")</f>
        <v>0.91928251121076232</v>
      </c>
      <c r="BH14" s="1202">
        <f>IF(ISNUMBER(((Datos!L14/Datos!K14)*11)/factor_trimestre),((Datos!L14/Datos!K14)*11)/factor_trimestre," - ")</f>
        <v>9.3365853658536579</v>
      </c>
      <c r="BI14" s="1198">
        <f>IF(ISNUMBER('Resol  Asuntos'!D14/NºAsuntos!G14),'Resol  Asuntos'!D14/NºAsuntos!G14," - ")</f>
        <v>0.23728813559322035</v>
      </c>
      <c r="BJ14" s="1198" t="str">
        <f>IF(ISNUMBER(Datos!CI14/Datos!CJ14),Datos!CI14/Datos!CJ14," - ")</f>
        <v xml:space="preserve"> - </v>
      </c>
      <c r="BK14" s="1198">
        <f>SUBTOTAL(9,BK8:BK13)</f>
        <v>0</v>
      </c>
      <c r="BL14" s="1198">
        <f>IF(ISNUMBER((I14-AB14+L14)/(F14)),(I14-AB14+L14)/(F14)," - ")</f>
        <v>0</v>
      </c>
      <c r="BM14" s="1203">
        <f>SUBTOTAL(9,BM9:BM13)</f>
        <v>9.8484848484848481E-2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305</v>
      </c>
      <c r="AC17" s="240">
        <f>IF(ISNUMBER(Datos!Q17),Datos!Q17," - ")</f>
        <v>10</v>
      </c>
      <c r="AD17" s="374"/>
      <c r="AE17" s="562"/>
      <c r="AF17" s="741">
        <f>IF(ISNUMBER(IF(D_I="SI",Datos!L17,Datos!L17+Datos!AF17)),IF(D_I="SI",Datos!L17,Datos!L17+Datos!AF17)," - ")</f>
        <v>78</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1.0132890365448506</v>
      </c>
      <c r="BH17" s="764">
        <f>IF(ISNUMBER(((IF(D_I="SI",Datos!L17/Datos!K17,(Datos!L17+Datos!AF17)/(Datos!K17+Datos!AE17)))*11)/factor_trimestre),((IF(D_I="SI",Datos!L17/Datos!K17,(Datos!L17+Datos!AF17)/(Datos!K17+Datos!AE17)))*11)/factor_trimestre," - ")</f>
        <v>2.8131147540983603</v>
      </c>
      <c r="BI17" s="266">
        <f>IF(ISNUMBER('Resol  Asuntos'!D17/NºAsuntos!G17),'Resol  Asuntos'!D17/NºAsuntos!G17," - ")</f>
        <v>0.10163934426229508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2</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82</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327</v>
      </c>
      <c r="AC23" s="1198">
        <f t="shared" si="5"/>
        <v>10</v>
      </c>
      <c r="AD23" s="1198">
        <f t="shared" si="5"/>
        <v>0</v>
      </c>
      <c r="AE23" s="1198">
        <f t="shared" si="5"/>
        <v>0</v>
      </c>
      <c r="AF23" s="1198">
        <f t="shared" si="5"/>
        <v>82</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207</v>
      </c>
      <c r="BE23" s="1198">
        <f t="shared" si="5"/>
        <v>0</v>
      </c>
      <c r="BF23" s="1198">
        <f t="shared" si="5"/>
        <v>0</v>
      </c>
      <c r="BG23" s="1198">
        <f>IF(ISNUMBER(Datos!K23/Datos!J23),Datos!K23/Datos!J23," - ")</f>
        <v>1.0092592592592593</v>
      </c>
      <c r="BH23" s="1202">
        <f>IF(ISNUMBER(((Datos!L23/Datos!K23)*11)/factor_trimestre),((Datos!L23/Datos!K23)*11)/factor_trimestre," - ")</f>
        <v>2.7584097859327215</v>
      </c>
      <c r="BI23" s="1198">
        <f>SUBTOTAL(9,BI16:BI22)</f>
        <v>0.19254843517138598</v>
      </c>
      <c r="BJ23" s="1198">
        <f>SUBTOTAL(9,BJ16:BJ22)</f>
        <v>0</v>
      </c>
      <c r="BK23" s="1198">
        <f>SUBTOTAL(9,BK16:BK22)</f>
        <v>0</v>
      </c>
      <c r="BL23" s="1198">
        <f>IF(ISNUMBER((I23-AB23+L23)/(F23)),(I23-AB23+L23)/(F23)," - ")</f>
        <v>-3.9878048780487805</v>
      </c>
      <c r="BM23" s="1205">
        <f>IF(ISNUMBER((Datos!P23-Datos!Q23)/(Datos!R23-Datos!P23+Datos!Q23)),(Datos!P23-Datos!Q23)/(Datos!R23-Datos!P23+Datos!Q23)," - ")</f>
        <v>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83</v>
      </c>
      <c r="G31" s="1117">
        <f t="shared" si="18"/>
        <v>86</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327</v>
      </c>
      <c r="AC31" s="1118">
        <f t="shared" si="19"/>
        <v>33</v>
      </c>
      <c r="AD31" s="1118">
        <f t="shared" si="19"/>
        <v>0</v>
      </c>
      <c r="AE31" s="1118">
        <f t="shared" si="19"/>
        <v>0</v>
      </c>
      <c r="AF31" s="1125">
        <f t="shared" si="19"/>
        <v>83</v>
      </c>
      <c r="AG31" s="1125">
        <f t="shared" si="19"/>
        <v>0</v>
      </c>
      <c r="AH31" s="1125">
        <f t="shared" si="19"/>
        <v>4</v>
      </c>
      <c r="AI31" s="1125">
        <f t="shared" si="19"/>
        <v>0</v>
      </c>
      <c r="AJ31" s="1118">
        <f t="shared" si="19"/>
        <v>0</v>
      </c>
      <c r="AK31" s="1125">
        <f t="shared" si="19"/>
        <v>0</v>
      </c>
      <c r="AL31" s="1125">
        <f t="shared" si="19"/>
        <v>0</v>
      </c>
      <c r="AM31" s="1125">
        <f t="shared" si="19"/>
        <v>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v>
      </c>
      <c r="BD31" s="1117">
        <f t="shared" si="19"/>
        <v>290</v>
      </c>
      <c r="BE31" s="1117">
        <f t="shared" si="19"/>
        <v>0</v>
      </c>
      <c r="BF31" s="1127">
        <f t="shared" si="19"/>
        <v>0</v>
      </c>
      <c r="BG31" s="1223">
        <f>IF(ISNUMBER(Datos!K31/Datos!J31),Datos!K31/Datos!J31," - ")</f>
        <v>0.97257769652650827</v>
      </c>
      <c r="BH31" s="1223">
        <f>IF(ISNUMBER(((Datos!L31/Datos!K31)*11)/factor_trimestre),((Datos!L31/Datos!K31)*11)/factor_trimestre," - ")</f>
        <v>5.2932330827067666</v>
      </c>
      <c r="BI31" s="1103">
        <f>IF(ISNUMBER(Datos!J31/Datos!I31),Datos!J31/Datos!I31," - ")</f>
        <v>2.6298076923076925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-3.9397590361445785</v>
      </c>
      <c r="BM31" s="1188">
        <f>IF(ISNUMBER((Datos!P31-Datos!Q31+R31)/(Datos!R31-Datos!P31+Datos!Q31-R31)),(Datos!P31-Datos!Q31+R31)/(Datos!R31-Datos!P31+Datos!Q31-R31)," - ")</f>
        <v>0.10344827586206896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42.088795025121193</v>
      </c>
      <c r="G33" s="674">
        <f>IF(ISNUMBER(STDEV(G8:G30)),STDEV(G8:G30),"-")</f>
        <v>40.277608100354151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152.38969468969694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24.972842392143853</v>
      </c>
      <c r="BD33" s="673"/>
      <c r="BE33" s="673">
        <f>IF(ISNUMBER(STDEV(BE8:BE30)),STDEV(BE8:BE30),"-")</f>
        <v>0</v>
      </c>
      <c r="BF33" s="678">
        <f>IF(ISNUMBER(STDEV(BF8:BF30)),STDEV(BF8:BF30),"-")</f>
        <v>0</v>
      </c>
      <c r="BG33" s="1052">
        <f>IF(ISNUMBER(STDEV(BG8:BG30)),STDEV(BG8:BG30),"-")</f>
        <v>3.9330390638420094E-2</v>
      </c>
      <c r="BH33" s="1058">
        <f>IF(ISNUMBER(STDEV(BH8:BH30)),STDEV(BH8:BH30),"-")</f>
        <v>3.4702545531060407</v>
      </c>
      <c r="BI33" s="273">
        <f>IF(ISNUMBER(STDEV(BI8:BI30)),STDEV(BI8:BI30),"-")</f>
        <v>7.1027704427583119E-2</v>
      </c>
      <c r="BJ33" s="244" t="str">
        <f>IF(ISNUMBER(BL33/BM33),BL33/BM33," - ")</f>
        <v xml:space="preserve"> - </v>
      </c>
      <c r="BK33" s="709"/>
      <c r="BL33" s="681">
        <f>IF(ISNUMBER(STDEV(BL8:BL30)),STDEV(BL8:BL30),"-")</f>
        <v>2.8198038713170859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40o6RSVzHFhjQYgvsah0+i2jAI9Id6QeWw0picvPdPMfYACovCeyo5jEIXQtZvXHiHUnZD7mKxcUW6BZ+HnxQ==" saltValue="C3YBZrdIzj1rWGbcfjaJ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ALCARAZ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435</v>
      </c>
      <c r="AF12" s="693" t="str">
        <f>IF(ISNUMBER(Datos!BV12),Datos!BV12," - ")</f>
        <v xml:space="preserve"> - </v>
      </c>
      <c r="AG12" s="552" t="str">
        <f>IF(ISNUMBER(Datos!DV12),Datos!DV12," - ")</f>
        <v xml:space="preserve"> - </v>
      </c>
      <c r="AH12" s="553"/>
      <c r="AI12" s="554"/>
      <c r="AJ12" s="552">
        <f>IF(ISNUMBER(Datos!M12),Datos!M12," - ")</f>
        <v>56</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9.8484848484848481E-2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23</v>
      </c>
      <c r="AA14" s="1199">
        <f t="shared" si="3"/>
        <v>1</v>
      </c>
      <c r="AB14" s="1199">
        <f t="shared" si="3"/>
        <v>0</v>
      </c>
      <c r="AC14" s="1199">
        <f t="shared" si="3"/>
        <v>0</v>
      </c>
      <c r="AD14" s="1199">
        <f t="shared" si="3"/>
        <v>0</v>
      </c>
      <c r="AE14" s="1199">
        <f t="shared" si="3"/>
        <v>435</v>
      </c>
      <c r="AF14" s="1211">
        <f t="shared" si="3"/>
        <v>0</v>
      </c>
      <c r="AG14" s="1211">
        <f t="shared" si="3"/>
        <v>0</v>
      </c>
      <c r="AH14" s="1211">
        <f t="shared" si="3"/>
        <v>0</v>
      </c>
      <c r="AI14" s="1211">
        <f t="shared" si="3"/>
        <v>0</v>
      </c>
      <c r="AJ14" s="1211">
        <f t="shared" si="3"/>
        <v>56</v>
      </c>
      <c r="AK14" s="1211">
        <f t="shared" si="3"/>
        <v>83</v>
      </c>
      <c r="AL14" s="1211">
        <f t="shared" si="3"/>
        <v>0</v>
      </c>
      <c r="AM14" s="1211">
        <f t="shared" si="3"/>
        <v>0</v>
      </c>
      <c r="AN14" s="1211">
        <f t="shared" si="3"/>
        <v>0</v>
      </c>
      <c r="AO14" s="1203">
        <f>IF(ISNUMBER(((NºAsuntos!I14/NºAsuntos!G14)*11)/factor_trimestre),((NºAsuntos!I14/NºAsuntos!G14)*11)/factor_trimestre," - ")</f>
        <v>8.296610169491526</v>
      </c>
      <c r="AP14" s="1213" t="str">
        <f>IF(ISNUMBER(Datos!CI14/Datos!CJ14),Datos!CI14/Datos!CJ14," - ")</f>
        <v xml:space="preserve"> - </v>
      </c>
      <c r="AQ14" s="1236">
        <f t="shared" ref="AQ14:AV14" si="4">SUBTOTAL(9,AQ9:AQ13)</f>
        <v>0</v>
      </c>
      <c r="AR14" s="1236">
        <f t="shared" si="4"/>
        <v>9.8484848484848481E-2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305</v>
      </c>
      <c r="Z17" s="805">
        <f>IF(ISNUMBER(Datos!Q17),Datos!Q17," - ")</f>
        <v>10</v>
      </c>
      <c r="AA17" s="551">
        <f>IF(ISNUMBER(IF(D_I="SI",Datos!L17,Datos!L17+Datos!AF17)),IF(D_I="SI",Datos!L17,Datos!L17+Datos!AF17)," - ")</f>
        <v>78</v>
      </c>
      <c r="AB17" s="549"/>
      <c r="AC17" s="549"/>
      <c r="AD17" s="563"/>
      <c r="AE17" s="563">
        <f>IF(ISNUMBER(Datos!R17),Datos!R17," - ")</f>
        <v>13</v>
      </c>
      <c r="AF17" s="693" t="str">
        <f>IF(ISNUMBER(Datos!BV17),Datos!BV17," - ")</f>
        <v xml:space="preserve"> - </v>
      </c>
      <c r="AG17" s="552"/>
      <c r="AH17" s="553"/>
      <c r="AI17" s="554"/>
      <c r="AJ17" s="552">
        <f>IF(ISNUMBER(Datos!M17),Datos!M17," - ")</f>
        <v>31</v>
      </c>
      <c r="AK17" s="693">
        <f>IF(ISNUMBER(Datos!N17),Datos!N17," - ")</f>
        <v>193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2.8131147540983603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82</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327</v>
      </c>
      <c r="Z23" s="1240">
        <f t="shared" si="6"/>
        <v>10</v>
      </c>
      <c r="AA23" s="1240">
        <f t="shared" si="6"/>
        <v>82</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33</v>
      </c>
      <c r="AK23" s="1240">
        <f t="shared" si="6"/>
        <v>207</v>
      </c>
      <c r="AL23" s="1240">
        <f t="shared" si="6"/>
        <v>0</v>
      </c>
      <c r="AM23" s="1240">
        <f t="shared" si="6"/>
        <v>0</v>
      </c>
      <c r="AN23" s="1240">
        <f t="shared" si="6"/>
        <v>0</v>
      </c>
      <c r="AO23" s="1242">
        <f>IF(ISNUMBER(((NºAsuntos!I23/NºAsuntos!G23)*11)/factor_trimestre),((NºAsuntos!I23/NºAsuntos!G23)*11)/factor_trimestre," - ")</f>
        <v>2.7584097859327215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83</v>
      </c>
      <c r="G31" s="1117">
        <f t="shared" si="12"/>
        <v>86</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327</v>
      </c>
      <c r="Z31" s="1124">
        <f t="shared" si="13"/>
        <v>33</v>
      </c>
      <c r="AA31" s="1125">
        <f t="shared" si="13"/>
        <v>83</v>
      </c>
      <c r="AB31" s="1125">
        <f t="shared" si="13"/>
        <v>0</v>
      </c>
      <c r="AC31" s="1125">
        <f t="shared" si="13"/>
        <v>0</v>
      </c>
      <c r="AD31" s="1126">
        <f t="shared" si="13"/>
        <v>0</v>
      </c>
      <c r="AE31" s="1126">
        <f t="shared" si="13"/>
        <v>448</v>
      </c>
      <c r="AF31" s="1127">
        <f t="shared" si="13"/>
        <v>0</v>
      </c>
      <c r="AG31" s="1128">
        <f t="shared" si="13"/>
        <v>0</v>
      </c>
      <c r="AH31" s="1129">
        <f t="shared" si="13"/>
        <v>0</v>
      </c>
      <c r="AI31" s="1127">
        <f t="shared" si="13"/>
        <v>0</v>
      </c>
      <c r="AJ31" s="1117">
        <f t="shared" si="13"/>
        <v>89</v>
      </c>
      <c r="AK31" s="1117">
        <f t="shared" si="13"/>
        <v>290</v>
      </c>
      <c r="AL31" s="1117">
        <f t="shared" si="13"/>
        <v>0</v>
      </c>
      <c r="AM31" s="1130">
        <f t="shared" si="13"/>
        <v>0</v>
      </c>
      <c r="AN31" s="1120">
        <f>IF(ISNUMBER(Datos!K31/Datos!J31),Datos!K31/Datos!J31," - ")</f>
        <v>0.97257769652650827</v>
      </c>
      <c r="AO31" s="1120">
        <f>IF(ISNUMBER(FIND("06",Criterios!A8,1)),(IF(ISNUMBER(((Datos!R31/Datos!Q31)*11)/factor_trimestre),((Datos!R31/Datos!Q31)*11)/factor_trimestre," - ")),(IF(ISNUMBER(((Datos!L31/Datos!K31)*11)/factor_trimestre),((Datos!L31/Datos!K31)*11)/factor_trimestre," - ")))</f>
        <v>5.2932330827067666</v>
      </c>
      <c r="AP31" s="1131" t="str">
        <f>IF(ISNUMBER(Datos!CI31/Datos!CJ31),Datos!CI31/Datos!CJ31," - ")</f>
        <v xml:space="preserve"> - </v>
      </c>
      <c r="AQ31" s="1131">
        <f>IF(OR(ISNUMBER(FIND("01",Criterios!A8,1)),ISNUMBER(FIND("02",Criterios!A8,1)),ISNUMBER(FIND("03",Criterios!A8,1)),ISNUMBER(FIND("04",Criterios!A8,1))),(J31-Y31+K31)/(F31-K31),(I31-Y31+K31)/(F31-K31))</f>
        <v>-3.9397590361445785</v>
      </c>
      <c r="AR31" s="1131">
        <f>IF(ISNUMBER((Datos!P31-Datos!Q31+O31)/(Datos!R31-Datos!P31+Datos!Q31-O31)),(Datos!P31-Datos!Q31+O31)/(Datos!R31-Datos!P31+Datos!Q31-O31)," - ")</f>
        <v>0.10344827586206896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42.088795025121193</v>
      </c>
      <c r="G33" s="674">
        <f>IF(ISNUMBER(STDEV(G8:G30)),STDEV(G8:G30),"-")</f>
        <v>40.277608100354151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24.972842392143853</v>
      </c>
      <c r="AK33" s="276"/>
      <c r="AL33" s="276">
        <f>IF(ISNUMBER(STDEV(AL8:AL30)),STDEV(AL8:AL30),"-")</f>
        <v>0</v>
      </c>
      <c r="AM33" s="278">
        <f>IF(ISNUMBER(STDEV(AM8:AM30)),STDEV(AM8:AM30),"-")</f>
        <v>0</v>
      </c>
      <c r="AN33" s="660">
        <f>IF(ISNUMBER(STDEV(AN8:AN30)),STDEV(AN8:AN30),"-")</f>
        <v>0</v>
      </c>
      <c r="AO33" s="661">
        <f>IF(ISNUMBER(STDEV(AO8:AO30)),STDEV(AO8:AO30),"-")</f>
        <v>3.165509244103927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1P4eFohMB+qkdZp624fFfzVY7L0Qi8BsLNRVkSfrNQH71PPI1y9rM0Lhtwo/LfDB0BafeQSsN8hOxboQ1BHVg==" saltValue="oU3oqU4izd8/JvM674fu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PDXSYxgtkPckprcpIFbDj0taWCbk3RAxclERzSxWPRby683KZ/JJwjWUw3OIGtgVig9BUojqmORe+qcUSqfsA==" saltValue="i4RT/CNlBO9ioVKPovJX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1rTFn9gjh3l1qfY4uQWdAGRk3MBkozrEg7Z6vjy/wic+8/b4E4/lt3AyxM5qGu9juyszqIsVhLdIPbCKCnqqg==" saltValue="pEQFHrnmwOUD45CANL3s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ALCARAZ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0.23728813559322035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0.16778804977307907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3qnBTQxwzbUNLRYLgluZQLEmu5atd1EuIonwMfDxJD0IYgehCenJ/nVxtS0soVB57g60Hvahoa1GeZb+YcoFQ==" saltValue="54bODoz+JZW9F0JUZu1b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uv+4BNYtcOzb8Glwgo3cjd1TkF5S90LwmD9Ou/p5pmX22L7He0ROuH6WEeVFq5wcC2qUlUiXF28TZZzY520w==" saltValue="i1aoTQcV3HNRpnbJqpBh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ALCARAZ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171</v>
      </c>
      <c r="D12" s="452">
        <f>IF(ISNUMBER(C12/Datos!BH12),C12/Datos!BH12," - ")</f>
        <v>171</v>
      </c>
      <c r="E12" s="451">
        <f>IF(ISNUMBER(IF(J_V="SI",Datos!J12,Datos!J12+Datos!Z12)),IF(J_V="SI",Datos!J12,Datos!J12+Datos!Z12)," - ")</f>
        <v>245</v>
      </c>
      <c r="F12" s="452">
        <f>IF(ISNUMBER(E12/B12),E12/B12," - ")</f>
        <v>245</v>
      </c>
      <c r="G12" s="451">
        <f>IF(ISNUMBER(IF(J_V="SI",Datos!K12,Datos!K12+Datos!AA12)),IF(J_V="SI",Datos!K12,Datos!K12+Datos!AA12)," - ")</f>
        <v>236</v>
      </c>
      <c r="H12" s="452">
        <f>IF(ISNUMBER(G12/B12),G12/B12," - ")</f>
        <v>236</v>
      </c>
      <c r="I12" s="451">
        <f>IF(ISNUMBER(IF(J_V="SI",Datos!L12,Datos!L12+Datos!AB12)),IF(J_V="SI",Datos!L12,Datos!L12+Datos!AB12)," - ")</f>
        <v>177</v>
      </c>
      <c r="J12" s="452">
        <f>IF(ISNUMBER(I12/B12),I12/B12," - ")</f>
        <v>177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172</v>
      </c>
      <c r="D14" s="1147" t="str">
        <f>IF(ISNUMBER(C14/Datos!BI14),C14/Datos!BI14," - ")</f>
        <v xml:space="preserve"> - </v>
      </c>
      <c r="E14" s="1146">
        <f>SUBTOTAL(9,E8:E13)</f>
        <v>245</v>
      </c>
      <c r="F14" s="1147">
        <f>IF(ISNUMBER(E14/B14),E14/B14," - ")</f>
        <v>245</v>
      </c>
      <c r="G14" s="1146">
        <f>SUBTOTAL(9,G8:G13)</f>
        <v>236</v>
      </c>
      <c r="H14" s="1147">
        <f>IF(ISNUMBER(G14/B14),G14/B14," - ")</f>
        <v>236</v>
      </c>
      <c r="I14" s="1146">
        <f>SUBTOTAL(9,I8:I13)</f>
        <v>178</v>
      </c>
      <c r="J14" s="1147">
        <f>IF(ISNUMBER(I14/B14),I14/B14," - ")</f>
        <v>178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301</v>
      </c>
      <c r="F17" s="452">
        <f>IF(ISNUMBER(E17/B17),E17/B17," - ")</f>
        <v>301</v>
      </c>
      <c r="G17" s="451">
        <f>IF(ISNUMBER(IF(D_I="SI",Datos!K17,Datos!K17+Datos!AE17)),IF(D_I="SI",Datos!K17,Datos!K17+Datos!AE17)," - ")</f>
        <v>305</v>
      </c>
      <c r="H17" s="452">
        <f>IF(ISNUMBER(G17/B17),G17/B17," - ")</f>
        <v>305</v>
      </c>
      <c r="I17" s="451">
        <f>IF(ISNUMBER(IF(D_I="SI",Datos!L17,Datos!L17+Datos!AF17)),IF(D_I="SI",Datos!L17,Datos!L17+Datos!AF17)," - ")</f>
        <v>78</v>
      </c>
      <c r="J17" s="452">
        <f>IF(ISNUMBER(I17/B17),I17/B17," - ")</f>
        <v>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23</v>
      </c>
      <c r="F18" s="452">
        <f>IF(ISNUMBER(E18/B18),E18/B18," - ")</f>
        <v>23</v>
      </c>
      <c r="G18" s="451">
        <f>IF(ISNUMBER(IF(D_I="SI",Datos!K18,Datos!K18+Datos!AE18)),IF(D_I="SI",Datos!K18,Datos!K18+Datos!AE18)," - ")</f>
        <v>22</v>
      </c>
      <c r="H18" s="452">
        <f>IF(ISNUMBER(G18/B18),G18/B18," - ")</f>
        <v>22</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324</v>
      </c>
      <c r="F23" s="1147">
        <f>IF(ISNUMBER(E23/B23),E23/B23," - ")</f>
        <v>324</v>
      </c>
      <c r="G23" s="1146">
        <f>SUBTOTAL(9,G15:G22)</f>
        <v>327</v>
      </c>
      <c r="H23" s="1147">
        <f>IF(ISNUMBER(G23/B23),G23/B23," - ")</f>
        <v>327</v>
      </c>
      <c r="I23" s="1146">
        <f>SUBTOTAL(9,I15:I22)</f>
        <v>82</v>
      </c>
      <c r="J23" s="1147">
        <f>IF(ISNUMBER(I23/B23),I23/B23," - ")</f>
        <v>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257</v>
      </c>
      <c r="D31" s="1085" t="str">
        <f>IF(ISNUMBER(C31/Datos!BI31),C31/Datos!BI31," - ")</f>
        <v xml:space="preserve"> - </v>
      </c>
      <c r="E31" s="1084">
        <f>SUBTOTAL(9,E9:E30)</f>
        <v>569</v>
      </c>
      <c r="F31" s="1085">
        <f>IF(ISNUMBER(E31/B31),E31/B31," - ")</f>
        <v>569</v>
      </c>
      <c r="G31" s="1084">
        <f>SUBTOTAL(9,G9:G30)</f>
        <v>563</v>
      </c>
      <c r="H31" s="1085">
        <f>IF(ISNUMBER(G31/B31),G31/B31," - ")</f>
        <v>563</v>
      </c>
      <c r="I31" s="1084">
        <f>SUBTOTAL(9,I9:I30)</f>
        <v>260</v>
      </c>
      <c r="J31" s="1085">
        <f>IF(ISNUMBER(I31/B31),I31/B31," - ")</f>
        <v>260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oS4oJuPT9BuEWEv9eMlJpQKSpL7ThztYb/AfXJ4E2teGD/DlmEdob1ZIqTxQSpLaa71nS31FABEJDrLENoSQDw==" saltValue="4IM8ZtGZmDRnrqhg3sk3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ALCARAZ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9.8484848484848481E-2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23</v>
      </c>
      <c r="AE14" s="1257">
        <f t="shared" si="1"/>
        <v>0</v>
      </c>
      <c r="AF14" s="1257">
        <f t="shared" si="1"/>
        <v>1</v>
      </c>
      <c r="AG14" s="1257">
        <f t="shared" si="1"/>
        <v>0</v>
      </c>
      <c r="AH14" s="1257">
        <f t="shared" si="1"/>
        <v>435</v>
      </c>
      <c r="AI14" s="1257">
        <f t="shared" si="1"/>
        <v>0</v>
      </c>
      <c r="AJ14" s="1257">
        <f t="shared" si="1"/>
        <v>0</v>
      </c>
      <c r="AK14" s="1257">
        <f t="shared" si="1"/>
        <v>0</v>
      </c>
      <c r="AL14" s="1257">
        <f t="shared" si="1"/>
        <v>56</v>
      </c>
      <c r="AM14" s="1257">
        <f t="shared" si="1"/>
        <v>83</v>
      </c>
      <c r="AN14" s="1257">
        <f t="shared" si="1"/>
        <v>0</v>
      </c>
      <c r="AO14" s="1257">
        <f t="shared" si="1"/>
        <v>0</v>
      </c>
      <c r="AP14" s="1262">
        <f>IF(ISNUMBER(((Datos!L14/Datos!K14)*11)/factor_trimestre),((Datos!L14/Datos!K14)*11)/factor_trimestre," - ")</f>
        <v>9.3365853658536579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9.8484848484848481E-2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2.7584097859327215</v>
      </c>
      <c r="AQ23" s="1262">
        <f>IF(ISNUMBER(((Datos!M23/Datos!L23)*11)/factor_trimestre),((Datos!M23/Datos!L23)*11)/factor_trimestre," - ")</f>
        <v>4.4268292682926829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v>
      </c>
      <c r="AW23" s="1265">
        <f>IF(ISNUMBER((Datos!Q23-Datos!R23)/(Datos!S23-Datos!Q23+Datos!R23)),(Datos!Q23-Datos!R23)/(Datos!S23-Datos!Q23+Datos!R23)," - ")</f>
        <v>-3.4090909090909088E-2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23</v>
      </c>
      <c r="AE31" s="1284">
        <f t="shared" si="9"/>
        <v>0</v>
      </c>
      <c r="AF31" s="1285">
        <f t="shared" si="9"/>
        <v>1</v>
      </c>
      <c r="AG31" s="1285">
        <f t="shared" si="9"/>
        <v>0</v>
      </c>
      <c r="AH31" s="1285">
        <f t="shared" si="9"/>
        <v>435</v>
      </c>
      <c r="AI31" s="1285">
        <f t="shared" si="9"/>
        <v>0</v>
      </c>
      <c r="AJ31" s="1286">
        <f t="shared" si="9"/>
        <v>0</v>
      </c>
      <c r="AK31" s="1286">
        <f t="shared" si="9"/>
        <v>0</v>
      </c>
      <c r="AL31" s="1278">
        <f t="shared" si="9"/>
        <v>56</v>
      </c>
      <c r="AM31" s="1278">
        <f t="shared" si="9"/>
        <v>83</v>
      </c>
      <c r="AN31" s="1278">
        <f t="shared" si="9"/>
        <v>0</v>
      </c>
      <c r="AO31" s="1278">
        <f t="shared" si="9"/>
        <v>0</v>
      </c>
      <c r="AP31" s="1278">
        <f>IF(ISNUMBER(((Datos!L31/Datos!K31)*11)/factor_trimestre),((Datos!L31/Datos!K31)*11)/factor_trimestre," - ")</f>
        <v>5.2932330827067666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0.10344827586206896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28.918275651682048</v>
      </c>
      <c r="AM33" s="1006"/>
      <c r="AN33" s="1006">
        <f>IF(ISNUMBER(STDEV(AN8:AN30)),STDEV(AN8:AN30),"-")</f>
        <v>0</v>
      </c>
      <c r="AO33" s="1012">
        <f>IF(ISNUMBER(STDEV(AO8:AO30)),STDEV(AO8:AO30),"-")</f>
        <v>0</v>
      </c>
      <c r="AP33" s="1065">
        <f>IF(ISNUMBER(STDEV(AP8:AP30)),STDEV(AP8:AP30),"-")</f>
        <v>3.5263443015110112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EXPHJ6vX3VpJ+sCDyk4pgGRyqPa6DvGSVVoTDoPfoetlHDGnqpRZgB9/tYBCimNc6SP8HNf+kXFcX9XQ4oo9Q==" saltValue="sExzTybJwl59ba9ZzcKW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ALCARAZ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05/JGqyqjFxesRCXuxZKJquiwKDg2UjNg3HFyrXAllnkC2sGK1Q1zMjZaK25dfLVkKTe/XOn0Z7TdF6iMy+x/w==" saltValue="FWs47SkBGl03dhFyh7UX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ALCARAZ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56</v>
      </c>
      <c r="E12" s="452">
        <f t="shared" si="0"/>
        <v>56</v>
      </c>
      <c r="F12" s="451">
        <f>IF(ISNUMBER(Datos!N12),Datos!N12," - ")</f>
        <v>83</v>
      </c>
      <c r="G12" s="452">
        <f t="shared" si="1"/>
        <v>83</v>
      </c>
      <c r="H12" s="451">
        <f>IF(ISNUMBER(Datos!O12),Datos!O12," - ")</f>
        <v>113</v>
      </c>
      <c r="I12" s="452">
        <f t="shared" si="2"/>
        <v>113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56</v>
      </c>
      <c r="E14" s="1147">
        <f t="shared" si="0"/>
        <v>28</v>
      </c>
      <c r="F14" s="1146">
        <f>SUBTOTAL(9,F9:F13)</f>
        <v>83</v>
      </c>
      <c r="G14" s="1147">
        <f t="shared" si="1"/>
        <v>41.5</v>
      </c>
      <c r="H14" s="1146">
        <f>SUBTOTAL(9,H9:H13)</f>
        <v>113</v>
      </c>
      <c r="I14" s="1147">
        <f>IF(ISNUMBER(H14/B14),H14/B14," - ")</f>
        <v>56.5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193</v>
      </c>
      <c r="G17" s="452">
        <f t="shared" si="4"/>
        <v>193</v>
      </c>
      <c r="H17" s="451">
        <f>IF(ISNUMBER(Datos!O17),Datos!O17," - ")</f>
        <v>4</v>
      </c>
      <c r="I17" s="452">
        <f t="shared" si="5"/>
        <v>4</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33</v>
      </c>
      <c r="E23" s="1147">
        <f t="shared" si="3"/>
        <v>16.5</v>
      </c>
      <c r="F23" s="1146">
        <f>SUBTOTAL(9,F16:F22)</f>
        <v>207</v>
      </c>
      <c r="G23" s="1147">
        <f t="shared" si="4"/>
        <v>103.5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89</v>
      </c>
      <c r="E31" s="1085">
        <f>IF(ISNUMBER(D31/B31),D31/B31," - ")</f>
        <v>89</v>
      </c>
      <c r="F31" s="1084">
        <f>SUBTOTAL(9,F8:F30)</f>
        <v>290</v>
      </c>
      <c r="G31" s="1085">
        <f>IF(ISNUMBER(F31/B31),F31/B31," - ")</f>
        <v>290</v>
      </c>
      <c r="H31" s="1084">
        <f>SUBTOTAL(9,H8:H30)</f>
        <v>117</v>
      </c>
      <c r="I31" s="1085">
        <f>IF(ISNUMBER(H31/B31),H31/B31," - ")</f>
        <v>117</v>
      </c>
    </row>
    <row r="34" spans="1:1">
      <c r="A34" s="439" t="str">
        <f>Criterios!A4</f>
        <v>Fecha Informe: 14 abr. 2023</v>
      </c>
    </row>
    <row r="39" spans="1:1">
      <c r="A39" s="462"/>
    </row>
  </sheetData>
  <sheetProtection algorithmName="SHA-512" hashValue="ktwBzj8n8bxJDWxKd4RPEiykDM2R3qgNSb3Tmm1PALVkN9RJ66HzFzVu+C3iduI002UKAeiCDmGsZqNiNs9PTA==" saltValue="NjA+qt+JpEhZMWdftqd6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ALCARAZ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23</v>
      </c>
      <c r="D12" s="456">
        <f>IF(ISNUMBER(Datos!R12),Datos!R12," - ")</f>
        <v>435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23</v>
      </c>
      <c r="D14" s="1148">
        <f>SUBTOTAL(9,D9:D13)</f>
        <v>435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10</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10</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33</v>
      </c>
      <c r="D31" s="1090">
        <f>SUBTOTAL(9,D8:D30)</f>
        <v>448</v>
      </c>
    </row>
    <row r="32" spans="1:4" ht="7.5" customHeight="1"/>
    <row r="33" spans="1:1" ht="6" customHeight="1"/>
    <row r="34" spans="1:1">
      <c r="A34" s="439" t="str">
        <f>Criterios!A4</f>
        <v>Fecha Informe: 14 abr. 2023</v>
      </c>
    </row>
    <row r="39" spans="1:1">
      <c r="A39" s="462"/>
    </row>
  </sheetData>
  <sheetProtection algorithmName="SHA-512" hashValue="ypBv1qAYku9IKXMmenLG8MRNfEH6Vk18OPuhWE0Hzi14+HO3bJ4wPM/j3+ZnL13nfUbstrwSWDFBSWC66K6AZQ==" saltValue="tVm99ufcE2Gp+oEYpe0v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ALCARAZ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7.5471698113207544E-2</v>
      </c>
      <c r="C12" s="515">
        <f>IF(ISNUMBER(
   IF(J_V="SI",(Datos!J12-Datos!T12)/Datos!T12,(Datos!J12+Datos!Z12-(Datos!T12+Datos!AH12))/(Datos!T12+Datos!AH12))
     ),IF(J_V="SI",(Datos!J12-Datos!T12)/Datos!T12,(Datos!J12+Datos!Z12-(Datos!T12+Datos!AH12))/(Datos!T12+Datos!AH12))," - ")</f>
        <v>0.12385321100917432</v>
      </c>
      <c r="D12" s="515">
        <f>IF(ISNUMBER(
   IF(J_V="SI",(Datos!K12-Datos!U12)/Datos!U12,(Datos!K12+Datos!AA12-(Datos!U12+Datos!AI12))/(Datos!U12+Datos!AI12))
     ),IF(J_V="SI",(Datos!K12-Datos!U12)/Datos!U12,(Datos!K12+Datos!AA12-(Datos!U12+Datos!AI12))/(Datos!U12+Datos!AI12))," - ")</f>
        <v>0.14563106796116504</v>
      </c>
      <c r="E12" s="515">
        <f>IF(ISNUMBER(
   IF(J_V="SI",(Datos!L12-Datos!V12)/Datos!V12,(Datos!L12+Datos!AB12-(Datos!V12+Datos!AJ12))/(Datos!V12+Datos!AJ12))
     ),IF(J_V="SI",(Datos!L12-Datos!V12)/Datos!V12,(Datos!L12+Datos!AB12-(Datos!V12+Datos!AJ12))/(Datos!V12+Datos!AJ12))," - ")</f>
        <v>3.5087719298245612E-2</v>
      </c>
      <c r="F12" s="515">
        <f>IF(ISNUMBER((Datos!M12-Datos!W12)/Datos!W12),(Datos!M12-Datos!W12)/Datos!W12," - ")</f>
        <v>9.8039215686274508E-2</v>
      </c>
      <c r="G12" s="516">
        <f>IF(ISNUMBER((Datos!N12-Datos!X12)/Datos!X12),(Datos!N12-Datos!X12)/Datos!X12," - ")</f>
        <v>0.12162162162162163</v>
      </c>
      <c r="H12" s="514">
        <f>IF(ISNUMBER(((NºAsuntos!G12/NºAsuntos!E12)-Datos!BD12)/Datos!BD12),((NºAsuntos!G12/NºAsuntos!E12)-Datos!BD12)/Datos!BD12," - ")</f>
        <v>1.9377848226669315E-2</v>
      </c>
      <c r="I12" s="515">
        <f>IF(ISNUMBER(((NºAsuntos!I12/NºAsuntos!G12)-Datos!BE12)/Datos!BE12),((NºAsuntos!I12/NºAsuntos!G12)-Datos!BE12)/Datos!BE12," - ")</f>
        <v>-9.6491228070175405E-2</v>
      </c>
      <c r="J12" s="521">
        <f>IF(ISNUMBER((('Resol  Asuntos'!D12/NºAsuntos!G12)-Datos!BF12)/Datos!BF12),(('Resol  Asuntos'!D12/NºAsuntos!G12)-Datos!BF12)/Datos!BF12," - ")</f>
        <v>-0.33944113605130555</v>
      </c>
      <c r="K12" s="522">
        <f>IF(ISNUMBER((((NºAsuntos!C12+NºAsuntos!E12)/NºAsuntos!G12)-Datos!BG12)/Datos!BG12),(((NºAsuntos!C12+NºAsuntos!E12)/NºAsuntos!G12)-Datos!BG12)/Datos!BG12," - ")</f>
        <v>-3.6820572764465286E-2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8.1761006289308172E-2</v>
      </c>
      <c r="C14" s="1152">
        <f>IF(ISNUMBER(
   IF(J_V="SI",(Datos!J14-Datos!T14)/Datos!T14,(Datos!J14+Datos!Z14-(Datos!T14+Datos!AH14))/(Datos!T14+Datos!AH14))
     ),IF(J_V="SI",(Datos!J14-Datos!T14)/Datos!T14,(Datos!J14+Datos!Z14-(Datos!T14+Datos!AH14))/(Datos!T14+Datos!AH14))," - ")</f>
        <v>0.11872146118721461</v>
      </c>
      <c r="D14" s="1152">
        <f>IF(ISNUMBER(
   IF(J_V="SI",(Datos!K14-Datos!U14)/Datos!U14,(Datos!K14+Datos!AA14-(Datos!U14+Datos!AI14))/(Datos!U14+Datos!AI14))
     ),IF(J_V="SI",(Datos!K14-Datos!U14)/Datos!U14,(Datos!K14+Datos!AA14-(Datos!U14+Datos!AI14))/(Datos!U14+Datos!AI14))," - ")</f>
        <v>0.14563106796116504</v>
      </c>
      <c r="E14" s="1152">
        <f>IF(ISNUMBER(
   IF(J_V="SI",(Datos!L14-Datos!V14)/Datos!V14,(Datos!L14+Datos!AB14-(Datos!V14+Datos!AJ14))/(Datos!V14+Datos!AJ14))
     ),IF(J_V="SI",(Datos!L14-Datos!V14)/Datos!V14,(Datos!L14+Datos!AB14-(Datos!V14+Datos!AJ14))/(Datos!V14+Datos!AJ14))," - ")</f>
        <v>3.4883720930232558E-2</v>
      </c>
      <c r="F14" s="1153">
        <f>IF(ISNUMBER((Datos!M14-Datos!W14)/Datos!W14),(Datos!M14-Datos!W14)/Datos!W14," - ")</f>
        <v>9.8039215686274508E-2</v>
      </c>
      <c r="G14" s="1154">
        <f>IF(ISNUMBER((Datos!N14-Datos!X14)/Datos!X14),(Datos!N14-Datos!X14)/Datos!X14," - ")</f>
        <v>0.12162162162162163</v>
      </c>
      <c r="H14" s="1154">
        <f>IF(ISNUMBER(((NºAsuntos!G14/NºAsuntos!E14)-Datos!BD14)/Datos!BD14),((NºAsuntos!G14/NºAsuntos!E14)-Datos!BD14)/Datos!BD14," - ")</f>
        <v>2.4053893402021062E-2</v>
      </c>
      <c r="I14" s="1154">
        <f>IF(ISNUMBER(((NºAsuntos!I14/NºAsuntos!G14)-Datos!BE14)/Datos!BE14),((NºAsuntos!I14/NºAsuntos!G14)-Datos!BE14)/Datos!BE14," - ")</f>
        <v>-9.6669294442254611E-2</v>
      </c>
      <c r="J14" s="1154">
        <f>IF(ISNUMBER((('Resol  Asuntos'!D14/NºAsuntos!G14)-Datos!BF14)/Datos!BF14),(('Resol  Asuntos'!D14/NºAsuntos!G14)-Datos!BF14)/Datos!BF14," - ")</f>
        <v>-0.33944113605130555</v>
      </c>
      <c r="K14" s="1154">
        <f>IF(ISNUMBER((((NºAsuntos!C14+NºAsuntos!E14)/NºAsuntos!G14)-Datos!BG14)/Datos!BG14),(((NºAsuntos!C14+NºAsuntos!E14)/NºAsuntos!G14)-Datos!BG14)/Datos!BG14," - ")</f>
        <v>-3.7059456550982035E-2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-2.3809523809523808E-2</v>
      </c>
      <c r="C17" s="515">
        <f>IF(ISNUMBER(
   IF(D_I="SI",(Datos!J17-Datos!T17)/Datos!T17,(Datos!J17+Datos!AD17-(Datos!T17+Datos!AL17))/(Datos!T17+Datos!AL17))
     ),IF(D_I="SI",(Datos!J17-Datos!T17)/Datos!T17,(Datos!J17+Datos!AD17-(Datos!T17+Datos!AL17))/(Datos!T17+Datos!AL17))," - ")</f>
        <v>0.59259259259259256</v>
      </c>
      <c r="D17" s="515">
        <f>IF(ISNUMBER(
   IF(D_I="SI",(Datos!K17-Datos!U17)/Datos!U17,(Datos!K17+Datos!AE17-(Datos!U17+Datos!AM17))/(Datos!U17+Datos!AM17))
     ),IF(D_I="SI",(Datos!K17-Datos!U17)/Datos!U17,(Datos!K17+Datos!AE17-(Datos!U17+Datos!AM17))/(Datos!U17+Datos!AM17))," - ")</f>
        <v>0.59685863874345546</v>
      </c>
      <c r="E17" s="515">
        <f>IF(ISNUMBER(
   IF(D_I="SI",(Datos!L17-Datos!V17)/Datos!V17,(Datos!L17+Datos!AF17-(Datos!V17+Datos!AN17))/(Datos!V17+Datos!AN17))
     ),IF(D_I="SI",(Datos!L17-Datos!V17)/Datos!V17,(Datos!L17+Datos!AF17-(Datos!V17+Datos!AN17))/(Datos!V17+Datos!AN17))," - ")</f>
        <v>-4.878048780487805E-2</v>
      </c>
      <c r="F17" s="515">
        <f>IF(ISNUMBER((Datos!M17-Datos!W17)/Datos!W17),(Datos!M17-Datos!W17)/Datos!W17," - ")</f>
        <v>6.8965517241379309E-2</v>
      </c>
      <c r="G17" s="516">
        <f>IF(ISNUMBER((Datos!N17-Datos!X17)/Datos!X17),(Datos!N17-Datos!X17)/Datos!X17," - ")</f>
        <v>0.75454545454545452</v>
      </c>
      <c r="H17" s="514">
        <f>IF(ISNUMBER(((NºAsuntos!G17/NºAsuntos!E17)-Datos!BD17)/Datos!BD17),((NºAsuntos!G17/NºAsuntos!E17)-Datos!BD17)/Datos!BD17," - ")</f>
        <v>2.6786801412394751E-3</v>
      </c>
      <c r="I17" s="515">
        <f>IF(ISNUMBER(((NºAsuntos!I17/NºAsuntos!G17)-Datos!BE17)/Datos!BE17),((NºAsuntos!I17/NºAsuntos!G17)-Datos!BE17)/Datos!BE17," - ")</f>
        <v>-0.40431827269092369</v>
      </c>
      <c r="J17" s="521">
        <f>IF(ISNUMBER((('Resol  Asuntos'!D17/NºAsuntos!G17)-Datos!BF17)/Datos!BF17),(('Resol  Asuntos'!D17/NºAsuntos!G17)-Datos!BF17)/Datos!BF17," - ")</f>
        <v>-0.33058224985867718</v>
      </c>
      <c r="K17" s="522">
        <f>IF(ISNUMBER((((NºAsuntos!C17+NºAsuntos!E17)/NºAsuntos!G17)-Datos!BG17)/Datos!BG17),(((NºAsuntos!C17+NºAsuntos!E17)/NºAsuntos!G17)-Datos!BG17)/Datos!BG17," - ")</f>
        <v>-0.12144358373866569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v>
      </c>
      <c r="C18" s="515">
        <f>IF(ISNUMBER(
   IF(D_I="SI",(Datos!J18-Datos!T18)/Datos!T18,(Datos!J18+Datos!AD18-(Datos!T18+Datos!AL18))/(Datos!T18+Datos!AL18))
     ),IF(D_I="SI",(Datos!J18-Datos!T18)/Datos!T18,(Datos!J18+Datos!AD18-(Datos!T18+Datos!AL18))/(Datos!T18+Datos!AL18))," - ")</f>
        <v>0.6428571428571429</v>
      </c>
      <c r="D18" s="515">
        <f>IF(ISNUMBER(
   IF(D_I="SI",(Datos!K18-Datos!U18)/Datos!U18,(Datos!K18+Datos!AE18-(Datos!U18+Datos!AM18))/(Datos!U18+Datos!AM18))
     ),IF(D_I="SI",(Datos!K18-Datos!U18)/Datos!U18,(Datos!K18+Datos!AE18-(Datos!U18+Datos!AM18))/(Datos!U18+Datos!AM18))," - ")</f>
        <v>0.83333333333333337</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v>
      </c>
      <c r="G18" s="516">
        <f>IF(ISNUMBER((Datos!N18-Datos!X18)/Datos!X18),(Datos!N18-Datos!X18)/Datos!X18," - ")</f>
        <v>0.55555555555555558</v>
      </c>
      <c r="H18" s="514">
        <f>IF(ISNUMBER(((NºAsuntos!G18/NºAsuntos!E18)-Datos!BD18)/Datos!BD18),((NºAsuntos!G18/NºAsuntos!E18)-Datos!BD18)/Datos!BD18," - ")</f>
        <v>0.11594202898550734</v>
      </c>
      <c r="I18" s="515">
        <f>IF(ISNUMBER(((NºAsuntos!I18/NºAsuntos!G18)-Datos!BE18)/Datos!BE18),((NºAsuntos!I18/NºAsuntos!G18)-Datos!BE18)/Datos!BE18," - ")</f>
        <v>-0.27272727272727271</v>
      </c>
      <c r="J18" s="521">
        <f>IF(ISNUMBER((('Resol  Asuntos'!D18/NºAsuntos!G18)-Datos!BF18)/Datos!BF18),(('Resol  Asuntos'!D18/NºAsuntos!G18)-Datos!BF18)/Datos!BF18," - ")</f>
        <v>-0.45454545454545447</v>
      </c>
      <c r="K18" s="522">
        <f>IF(ISNUMBER((((NºAsuntos!C18+NºAsuntos!E18)/NºAsuntos!G18)-Datos!BG18)/Datos!BG18),(((NºAsuntos!C18+NºAsuntos!E18)/NºAsuntos!G18)-Datos!BG18)/Datos!BG18," - ")</f>
        <v>-5.4545454545454494E-2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0.59605911330049266</v>
      </c>
      <c r="D23" s="1152">
        <f>IF(ISNUMBER(
   IF(Criterios!B14="SI",(Datos!K23-Datos!U23)/Datos!U23,(Datos!K23+Datos!AE23-(Datos!U23+Datos!AM23))/(Datos!U23+Datos!AM23))
     ),IF(Criterios!B14="SI",(Datos!K23-Datos!U23)/Datos!U23,(Datos!K23+Datos!AE23-(Datos!U23+Datos!AM23))/(Datos!U23+Datos!AM23))," - ")</f>
        <v>0.61083743842364535</v>
      </c>
      <c r="E23" s="1152">
        <f>IF(ISNUMBER(
   IF(Criterios!B14="SI",(Datos!L23-Datos!V23)/Datos!V23,(Datos!L23+Datos!AF23-(Datos!V23+Datos!AN23))/(Datos!V23+Datos!AN23))
     ),IF(Criterios!B14="SI",(Datos!L23-Datos!V23)/Datos!V23,(Datos!L23+Datos!AF23-(Datos!V23+Datos!AN23))/(Datos!V23+Datos!AN23))," - ")</f>
        <v>-3.5294117647058823E-2</v>
      </c>
      <c r="F23" s="1153">
        <f>IF(ISNUMBER((Datos!M23-Datos!W23)/Datos!W23),(Datos!M23-Datos!W23)/Datos!W23," - ")</f>
        <v>6.4516129032258063E-2</v>
      </c>
      <c r="G23" s="1154">
        <f>IF(ISNUMBER((Datos!N23-Datos!X23)/Datos!X23),(Datos!N23-Datos!X23)/Datos!X23," - ")</f>
        <v>0.73949579831932777</v>
      </c>
      <c r="H23" s="1154">
        <f>IF(ISNUMBER(((NºAsuntos!G23/NºAsuntos!E23)-Datos!BD23)/Datos!BD23),((NºAsuntos!G23/NºAsuntos!E23)-Datos!BD23)/Datos!BD23," - ")</f>
        <v>9.2592592592593004E-3</v>
      </c>
      <c r="I23" s="1154">
        <f>IF(ISNUMBER(((NºAsuntos!I23/NºAsuntos!G23)-Datos!BE23)/Datos!BE23),((NºAsuntos!I23/NºAsuntos!G23)-Datos!BE23)/Datos!BE23," - ")</f>
        <v>-0.40111530850872462</v>
      </c>
      <c r="J23" s="1154">
        <f>IF(ISNUMBER((('Resol  Asuntos'!D23/NºAsuntos!G23)-Datos!BF23)/Datos!BF23),(('Resol  Asuntos'!D23/NºAsuntos!G23)-Datos!BF23)/Datos!BF23," - ")</f>
        <v>-0.33915359573838416</v>
      </c>
      <c r="K23" s="1154">
        <f>IF(ISNUMBER((((NºAsuntos!C23+NºAsuntos!E23)/NºAsuntos!G23)-Datos!BG23)/Datos!BG23),(((NºAsuntos!C23+NºAsuntos!E23)/NºAsuntos!G23)-Datos!BG23)/Datos!BG23," - ")</f>
        <v>-0.11838472646958891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5.3278688524590161E-2</v>
      </c>
      <c r="C31" s="1092">
        <f>IF(ISNUMBER(
   IF(J_V="SI",(Datos!J31-Datos!T31)/Datos!T31,(Datos!J31+Datos!Z31-(Datos!T31+Datos!AH31))/(Datos!T31+Datos!AH31))
     ),IF(J_V="SI",(Datos!J31-Datos!T31)/Datos!T31,(Datos!J31+Datos!Z31-(Datos!T31+Datos!AH31))/(Datos!T31+Datos!AH31))," - ")</f>
        <v>0.34834123222748814</v>
      </c>
      <c r="D31" s="1092">
        <f>IF(ISNUMBER(
   IF(J_V="SI",(Datos!K31-Datos!U31)/Datos!U31,(Datos!K31+Datos!AA31-(Datos!U31+Datos!AI31))/(Datos!U31+Datos!AI31))
     ),IF(J_V="SI",(Datos!K31-Datos!U31)/Datos!U31,(Datos!K31+Datos!AA31-(Datos!U31+Datos!AI31))/(Datos!U31+Datos!AI31))," - ")</f>
        <v>0.37652811735941322</v>
      </c>
      <c r="E31" s="1092">
        <f>IF(ISNUMBER(
   IF(J_V="SI",(Datos!L31-Datos!V31)/Datos!V31,(Datos!L31+Datos!AB31-(Datos!V31+Datos!AJ31))/(Datos!V31+Datos!AJ31))
     ),IF(J_V="SI",(Datos!L31-Datos!V31)/Datos!V31,(Datos!L31+Datos!AB31-(Datos!V31+Datos!AJ31))/(Datos!V31+Datos!AJ31))," - ")</f>
        <v>1.1673151750972763E-2</v>
      </c>
      <c r="F31" s="1093">
        <f>IF(ISNUMBER((Datos!M31-Datos!W31)/Datos!W31),(Datos!M31-Datos!W31)/Datos!W31," - ")</f>
        <v>8.5365853658536592E-2</v>
      </c>
      <c r="G31" s="1094">
        <f>IF(ISNUMBER((Datos!N31-Datos!X31)/Datos!X31),(Datos!N31-Datos!X31)/Datos!X31," - ")</f>
        <v>0.50259067357512954</v>
      </c>
      <c r="H31" s="1095">
        <f>IF(ISNUMBER((Tasas!B31-Datos!BD31)/Datos!BD31),(Tasas!B31-Datos!BD31)/Datos!BD31," - ")</f>
        <v>2.0904860326313491E-2</v>
      </c>
      <c r="I31" s="1096">
        <f>IF(ISNUMBER((Tasas!C31-Datos!BE31)/Datos!BE31),(Tasas!C31-Datos!BE31)/Datos!BE31," - ")</f>
        <v>-0.26505449544201087</v>
      </c>
      <c r="J31" s="1097">
        <f>IF(ISNUMBER((Tasas!D31-Datos!BF31)/Datos!BF31),(Tasas!D31-Datos!BF31)/Datos!BF31," - ")</f>
        <v>-0.38423411993571854</v>
      </c>
      <c r="K31" s="1097">
        <f>IF(ISNUMBER((Tasas!E31-Datos!BG31)/Datos!BG31),(Tasas!E31-Datos!BG31)/Datos!BG31," - ")</f>
        <v>-9.9008422276628358E-2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erwa5XvCu+JG2WTAK7qDY/1yoQhAvCCN8YueZaugTO79OyjEOWSRn7Ks+0zu9jGmkJv6UDG2YVIL5D6sfr0Qg==" saltValue="d2GojIQYA5hRXqXRmj2A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ALCARAZ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0.96326530612244898</v>
      </c>
      <c r="C12" s="498">
        <f>IF(ISNUMBER(NºAsuntos!I12/NºAsuntos!G12),NºAsuntos!I12/NºAsuntos!G12," - ")</f>
        <v>0.75</v>
      </c>
      <c r="D12" s="499">
        <f>IF(ISNUMBER('Resol  Asuntos'!D12/NºAsuntos!G12),'Resol  Asuntos'!D12/NºAsuntos!G12," - ")</f>
        <v>0.23728813559322035</v>
      </c>
      <c r="E12" s="500">
        <f>IF(ISNUMBER((NºAsuntos!C12+NºAsuntos!E12)/NºAsuntos!G12),(NºAsuntos!C12+NºAsuntos!E12)/NºAsuntos!G12," - ")</f>
        <v>1.7627118644067796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0.96326530612244898</v>
      </c>
      <c r="C14" s="1156">
        <f>IF(ISNUMBER(NºAsuntos!I14/NºAsuntos!G14),NºAsuntos!I14/NºAsuntos!G14," - ")</f>
        <v>0.75423728813559321</v>
      </c>
      <c r="D14" s="1157">
        <f>IF(ISNUMBER('Resol  Asuntos'!D14/NºAsuntos!G14),'Resol  Asuntos'!D14/NºAsuntos!G14," - ")</f>
        <v>0.23728813559322035</v>
      </c>
      <c r="E14" s="1158">
        <f>IF(ISNUMBER((NºAsuntos!C14+NºAsuntos!E14)/NºAsuntos!G14),(NºAsuntos!C14+NºAsuntos!E14)/NºAsuntos!G14," - ")</f>
        <v>1.7669491525423728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1.0132890365448506</v>
      </c>
      <c r="C17" s="498">
        <f>IF(ISNUMBER(NºAsuntos!I17/NºAsuntos!G17),NºAsuntos!I17/NºAsuntos!G17," - ")</f>
        <v>0.25573770491803277</v>
      </c>
      <c r="D17" s="499">
        <f>IF(ISNUMBER('Resol  Asuntos'!D17/NºAsuntos!G17),'Resol  Asuntos'!D17/NºAsuntos!G17," - ")</f>
        <v>0.10163934426229508</v>
      </c>
      <c r="E17" s="500">
        <f>IF(ISNUMBER((NºAsuntos!C17+NºAsuntos!E17)/NºAsuntos!G17),(NºAsuntos!C17+NºAsuntos!E17)/NºAsuntos!G17," - ")</f>
        <v>1.2557377049180327</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0.18181818181818182</v>
      </c>
      <c r="D18" s="499">
        <f>IF(ISNUMBER('Resol  Asuntos'!D18/NºAsuntos!G18),'Resol  Asuntos'!D18/NºAsuntos!G18," - ")</f>
        <v>9.0909090909090912E-2</v>
      </c>
      <c r="E18" s="500">
        <f>IF(ISNUMBER((NºAsuntos!C18+NºAsuntos!E18)/NºAsuntos!G18),(NºAsuntos!C18+NºAsuntos!E18)/NºAsuntos!G18," - ")</f>
        <v>1.1818181818181819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1.0092592592592593</v>
      </c>
      <c r="C23" s="1156">
        <f>IF(ISNUMBER(NºAsuntos!I23/NºAsuntos!G23),NºAsuntos!I23/NºAsuntos!G23," - ")</f>
        <v>0.25076452599388377</v>
      </c>
      <c r="D23" s="1159">
        <f>IF(ISNUMBER('Resol  Asuntos'!D23/NºAsuntos!G23),'Resol  Asuntos'!D23/NºAsuntos!G23," - ")</f>
        <v>0.10091743119266056</v>
      </c>
      <c r="E23" s="1158">
        <f>IF(ISNUMBER((NºAsuntos!C23+NºAsuntos!E23)/NºAsuntos!G23),(NºAsuntos!C23+NºAsuntos!E23)/NºAsuntos!G23," - ")</f>
        <v>1.2507645259938838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0.98945518453427062</v>
      </c>
      <c r="C31" s="1099">
        <f>IF(ISNUMBER(NºAsuntos!I31/NºAsuntos!G31),NºAsuntos!I31/NºAsuntos!G31," - ")</f>
        <v>0.46181172291296624</v>
      </c>
      <c r="D31" s="1100">
        <f>IF(ISNUMBER('Resol  Asuntos'!D31/NºAsuntos!G31),'Resol  Asuntos'!D31/NºAsuntos!G31," - ")</f>
        <v>0.15808170515097691</v>
      </c>
      <c r="E31" s="1101">
        <f>IF(ISNUMBER((NºAsuntos!C31+NºAsuntos!E31)/NºAsuntos!G31),(NºAsuntos!C31+NºAsuntos!E31)/NºAsuntos!G31," - ")</f>
        <v>1.4671403197158082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9xACPWuNJslimCGf3Y3gYKIFAybZwXaytD2hGIs1N/Xi0N6tpCdyynu5aDvQFqP8ibvx0X4zJYDa4zsGZCc4A==" saltValue="IHeqptSthBdDQNhH64Au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ALCARAZ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v>
      </c>
      <c r="AJ12" s="243" t="str">
        <f>IF(ISNUMBER(Datos!BW12),Datos!BW12," - ")</f>
        <v xml:space="preserve"> - </v>
      </c>
      <c r="AK12" s="242" t="str">
        <f>IF(ISNUMBER(Datos!BX12),Datos!BX12," - ")</f>
        <v xml:space="preserve"> - </v>
      </c>
      <c r="AL12" s="266">
        <f>IF(ISNUMBER(NºAsuntos!G12/NºAsuntos!E12),NºAsuntos!G12/NºAsuntos!E12," - ")</f>
        <v>0.96326530612244898</v>
      </c>
      <c r="AM12" s="284">
        <f>IF(ISNUMBER(((NºAsuntos!I12/NºAsuntos!G12)*11)/factor_trimestre),((NºAsuntos!I12/NºAsuntos!G12)*11)/factor_trimestre," - ")</f>
        <v>8.25</v>
      </c>
      <c r="AN12" s="267">
        <f>IF(ISNUMBER('Resol  Asuntos'!D12/NºAsuntos!G12),'Resol  Asuntos'!D12/NºAsuntos!G12," - ")</f>
        <v>0.23728813559322035</v>
      </c>
      <c r="AO12" s="268">
        <f>IF(ISNUMBER((NºAsuntos!C12+NºAsuntos!E12)/NºAsuntos!G12),(NºAsuntos!C12+NºAsuntos!E12)/NºAsuntos!G12," - ")</f>
        <v>1.7627118644067796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23</v>
      </c>
      <c r="Y14" s="1165">
        <f t="shared" si="6"/>
        <v>23</v>
      </c>
      <c r="Z14" s="1165">
        <f t="shared" si="6"/>
        <v>0</v>
      </c>
      <c r="AA14" s="1165">
        <f t="shared" si="6"/>
        <v>1</v>
      </c>
      <c r="AB14" s="1165">
        <f t="shared" si="6"/>
        <v>435</v>
      </c>
      <c r="AC14" s="1165">
        <f t="shared" si="6"/>
        <v>1</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0.96326530612244898</v>
      </c>
      <c r="AM14" s="1171">
        <f>IF(ISNUMBER(((NºAsuntos!I14/NºAsuntos!G14)*11)/factor_trimestre),((NºAsuntos!I14/NºAsuntos!G14)*11)/factor_trimestre," - ")</f>
        <v>8.296610169491526</v>
      </c>
      <c r="AN14" s="1172">
        <f>IF(ISNUMBER('Resol  Asuntos'!D14/NºAsuntos!G14),'Resol  Asuntos'!D14/NºAsuntos!G14," - ")</f>
        <v>0.23728813559322035</v>
      </c>
      <c r="AO14" s="1173">
        <f>IF(ISNUMBER((NºAsuntos!C14+NºAsuntos!E14)/NºAsuntos!G14),(NºAsuntos!C14+NºAsuntos!E14)/NºAsuntos!G14," - ")</f>
        <v>1.7669491525423728</v>
      </c>
      <c r="AP14" s="1174" t="str">
        <f t="shared" si="2"/>
        <v xml:space="preserve"> - </v>
      </c>
      <c r="AQ14" s="1174">
        <f>IF(ISNUMBER((H14-W14+K14)/(F14)),(H14-W14+K14)/(F14)," - ")</f>
        <v>0</v>
      </c>
      <c r="AR14" s="1175">
        <f>IF(ISNUMBER((Datos!P14-Datos!Q14)/(Datos!R14-Datos!P14+Datos!Q14)),(Datos!P14-Datos!Q14)/(Datos!R14-Datos!P14+Datos!Q14)," - ")</f>
        <v>9.8484848484848481E-2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305</v>
      </c>
      <c r="X17" s="240">
        <f>IF(ISNUMBER(Datos!Q17),Datos!Q17," - ")</f>
        <v>10</v>
      </c>
      <c r="Y17" s="374">
        <f t="shared" ref="Y17:Y22" si="9">SUM(W17:X17)</f>
        <v>315</v>
      </c>
      <c r="Z17" s="375" t="str">
        <f>IF(ISNUMBER(Datos!CC17),Datos!CC17," - ")</f>
        <v xml:space="preserve"> - </v>
      </c>
      <c r="AA17" s="372">
        <f>IF(ISNUMBER(IF(D_I="SI",Datos!L17,Datos!L17+Datos!AF17)),IF(D_I="SI",Datos!L17,Datos!L17+Datos!AF17)," - ")</f>
        <v>78</v>
      </c>
      <c r="AB17" s="374">
        <f>IF(ISNUMBER(Datos!R17),Datos!R17," - ")</f>
        <v>13</v>
      </c>
      <c r="AC17" s="374">
        <f t="shared" si="8"/>
        <v>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1.0132890365448506</v>
      </c>
      <c r="AM17" s="284">
        <f>IF(ISNUMBER(((NºAsuntos!I17/NºAsuntos!G17)*11)/factor_trimestre),((NºAsuntos!I17/NºAsuntos!G17)*11)/factor_trimestre," - ")</f>
        <v>2.8131147540983603</v>
      </c>
      <c r="AN17" s="267">
        <f>IF(ISNUMBER('Resol  Asuntos'!D17/NºAsuntos!G17),'Resol  Asuntos'!D17/NºAsuntos!G17," - ")</f>
        <v>0.10163934426229508</v>
      </c>
      <c r="AO17" s="268">
        <f>IF(ISNUMBER((NºAsuntos!C17+NºAsuntos!E17)/NºAsuntos!G17),(NºAsuntos!C17+NºAsuntos!E17)/NºAsuntos!G17," - ")</f>
        <v>1.2557377049180327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2</v>
      </c>
      <c r="AN18" s="267">
        <f>IF(ISNUMBER('Resol  Asuntos'!D18/NºAsuntos!G18),'Resol  Asuntos'!D18/NºAsuntos!G18," - ")</f>
        <v>9.0909090909090912E-2</v>
      </c>
      <c r="AO18" s="268">
        <f>IF(ISNUMBER((NºAsuntos!C18+NºAsuntos!E18)/NºAsuntos!G18),(NºAsuntos!C18+NºAsuntos!E18)/NºAsuntos!G18," - ")</f>
        <v>1.1818181818181819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85</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327</v>
      </c>
      <c r="X23" s="1164">
        <f t="shared" si="14"/>
        <v>10</v>
      </c>
      <c r="Y23" s="1165">
        <f t="shared" si="14"/>
        <v>337</v>
      </c>
      <c r="Z23" s="1165">
        <f t="shared" si="14"/>
        <v>0</v>
      </c>
      <c r="AA23" s="1165">
        <f t="shared" si="14"/>
        <v>82</v>
      </c>
      <c r="AB23" s="1165">
        <f t="shared" si="14"/>
        <v>13</v>
      </c>
      <c r="AC23" s="1165">
        <f t="shared" si="14"/>
        <v>95</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1.0092592592592593</v>
      </c>
      <c r="AM23" s="1171">
        <f>IF(ISNUMBER(((NºAsuntos!I23/NºAsuntos!G23)*11)/factor_trimestre),((NºAsuntos!I23/NºAsuntos!G23)*11)/factor_trimestre," - ")</f>
        <v>2.7584097859327215</v>
      </c>
      <c r="AN23" s="1172">
        <f>IF(ISNUMBER('Resol  Asuntos'!D23/NºAsuntos!G23),'Resol  Asuntos'!D23/NºAsuntos!G23," - ")</f>
        <v>0.10091743119266056</v>
      </c>
      <c r="AO23" s="1173">
        <f>IF(ISNUMBER((NºAsuntos!C23+NºAsuntos!E23)/NºAsuntos!G23),(NºAsuntos!C23+NºAsuntos!E23)/NºAsuntos!G23," - ")</f>
        <v>1.2507645259938838</v>
      </c>
      <c r="AP23" s="1174" t="str">
        <f t="shared" si="2"/>
        <v xml:space="preserve"> - </v>
      </c>
      <c r="AQ23" s="1174">
        <f>IF(ISNUMBER((H23-W23+K23)/(F23)),(H23-W23+K23)/(F23)," - ")</f>
        <v>-3.9878048780487805</v>
      </c>
      <c r="AR23" s="1175">
        <f>IF(ISNUMBER((Datos!P23-Datos!Q23)/(Datos!R23-Datos!P23+Datos!Q23)),(Datos!P23-Datos!Q23)/(Datos!R23-Datos!P23+Datos!Q23)," - ")</f>
        <v>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83</v>
      </c>
      <c r="G31" s="1118">
        <f t="shared" si="20"/>
        <v>86</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327</v>
      </c>
      <c r="X31" s="1118">
        <f t="shared" si="21"/>
        <v>33</v>
      </c>
      <c r="Y31" s="1125">
        <f t="shared" si="21"/>
        <v>360</v>
      </c>
      <c r="Z31" s="1125">
        <f t="shared" si="21"/>
        <v>0</v>
      </c>
      <c r="AA31" s="1125">
        <f t="shared" si="21"/>
        <v>83</v>
      </c>
      <c r="AB31" s="1125">
        <f t="shared" si="21"/>
        <v>448</v>
      </c>
      <c r="AC31" s="1125">
        <f t="shared" si="21"/>
        <v>96</v>
      </c>
      <c r="AD31" s="1125">
        <f t="shared" si="21"/>
        <v>0</v>
      </c>
      <c r="AE31" s="1127">
        <f t="shared" si="21"/>
        <v>0</v>
      </c>
      <c r="AF31" s="1128">
        <f t="shared" si="21"/>
        <v>0</v>
      </c>
      <c r="AG31" s="1129">
        <f t="shared" si="21"/>
        <v>0</v>
      </c>
      <c r="AH31" s="1127">
        <f t="shared" si="21"/>
        <v>0</v>
      </c>
      <c r="AI31" s="1117">
        <f t="shared" si="21"/>
        <v>89</v>
      </c>
      <c r="AJ31" s="1117">
        <f t="shared" si="21"/>
        <v>0</v>
      </c>
      <c r="AK31" s="1127">
        <f t="shared" si="21"/>
        <v>0</v>
      </c>
      <c r="AL31" s="1183">
        <f>IF(ISNUMBER(NºAsuntos!G31/NºAsuntos!E31),NºAsuntos!G31/NºAsuntos!E31," - ")</f>
        <v>0.98945518453427062</v>
      </c>
      <c r="AM31" s="1184">
        <f>IF(ISNUMBER(((NºAsuntos!I31/NºAsuntos!G31)*11)/factor_trimestre),((NºAsuntos!I31/NºAsuntos!G31)*11)/factor_trimestre," - ")</f>
        <v>5.0799289520426285</v>
      </c>
      <c r="AN31" s="1184">
        <f>IF(ISNUMBER('Resol  Asuntos'!D31/NºAsuntos!G31),'Resol  Asuntos'!D31/NºAsuntos!G31," - ")</f>
        <v>0.15808170515097691</v>
      </c>
      <c r="AO31" s="1185">
        <f>IF(ISNUMBER((NºAsuntos!C31+NºAsuntos!E31)/NºAsuntos!G31),(NºAsuntos!C31+NºAsuntos!E31)/NºAsuntos!G31," - ")</f>
        <v>1.4671403197158082</v>
      </c>
      <c r="AP31" s="1186" t="str">
        <f t="shared" si="2"/>
        <v xml:space="preserve"> - </v>
      </c>
      <c r="AQ31" s="1187">
        <f>IF(OR(ISNUMBER(FIND("01",Criterios!A8,1)),ISNUMBER(FIND("02",Criterios!A8,1)),ISNUMBER(FIND("03",Criterios!A8,1)),ISNUMBER(FIND("04",Criterios!A8,1))),(I31-W31+K31)/(F31-K31),(H31-W31+K31)/(F31-K31))</f>
        <v>-3.9397590361445785</v>
      </c>
      <c r="AR31" s="1188">
        <f>IF(ISNUMBER((Datos!P31-Datos!Q31)/(Datos!R31-Datos!P31+Datos!Q31)),(Datos!P31-Datos!Q31)/(Datos!R31-Datos!P31+Datos!Q31)," - ")</f>
        <v>0.10344827586206896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42.088795025121193</v>
      </c>
      <c r="G33" s="277">
        <f>IF(ISNUMBER(STDEV(G8:G30)),STDEV(G8:G30),"-")</f>
        <v>40.277608100354151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152.38969468969694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24.972842392143853</v>
      </c>
      <c r="AJ33" s="276">
        <f t="shared" si="25"/>
        <v>0</v>
      </c>
      <c r="AK33" s="278">
        <f t="shared" si="25"/>
        <v>0</v>
      </c>
      <c r="AL33" s="273">
        <f t="shared" si="25"/>
        <v>2.7700719523729305E-2</v>
      </c>
      <c r="AM33" s="274">
        <f t="shared" si="25"/>
        <v>3.165509244103927</v>
      </c>
      <c r="AN33" s="274">
        <f t="shared" si="25"/>
        <v>7.6506405951561968E-2</v>
      </c>
      <c r="AO33" s="275">
        <f t="shared" si="25"/>
        <v>0.29470092410157073</v>
      </c>
      <c r="AP33" s="317" t="str">
        <f t="shared" si="25"/>
        <v>-</v>
      </c>
      <c r="AQ33" s="318">
        <f t="shared" si="25"/>
        <v>2.8198038713170859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C+wh3vcvtpGMVuHJ1iB8CIjikBWNVwbMNmLTrb5U8IoP1T7NIGy5MoaTrCF32+buobudfx+KywWdy48t4Oifg==" saltValue="YbYBBdOdCu7pc1+ZKXPY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ALCARAZ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9.8039215686274508E-2</v>
      </c>
      <c r="I12" s="395">
        <f>IF(ISNUMBER((Tasas!C12-Datos!BE12)/Datos!BE12),(Tasas!C12-Datos!BE12)/Datos!BE12," - ")</f>
        <v>-9.6491228070175405E-2</v>
      </c>
      <c r="J12" s="394">
        <f>IF(ISNUMBER((Tasas!D12-Datos!BF12)/Datos!BF12),(Tasas!D12-Datos!BF12)/Datos!BF12," - ")</f>
        <v>-0.33944113605130555</v>
      </c>
      <c r="K12" s="396">
        <f>IF(ISNUMBER((Tasas!E12-Datos!BG12)/Datos!BG12),(Tasas!E12-Datos!BG12)/Datos!BG12," - ")</f>
        <v>-3.6820572764465286E-2</v>
      </c>
      <c r="M12" t="e">
        <f>IF(Monitorios="SI",Datos!CE12,0)</f>
        <v>#REF!</v>
      </c>
      <c r="N12" t="e">
        <f>IF(Monitorios="SI",Datos!CF12,0)</f>
        <v>#REF!</v>
      </c>
      <c r="O12" t="e">
        <f>IF(Monitorios="SI",Datos!CG12,0)</f>
        <v>#REF!</v>
      </c>
      <c r="P12" t="e">
        <f>IF(Monitorios="SI",Datos!CH12,0)</f>
        <v>#REF!</v>
      </c>
      <c r="Q12">
        <f>IF(J_V="SI",0,Datos!AG12)</f>
        <v>40</v>
      </c>
      <c r="R12">
        <f>IF(J_V="SI",0,Datos!AH12)</f>
        <v>28</v>
      </c>
      <c r="S12">
        <f>IF(J_V="SI",0,Datos!AI12)</f>
        <v>19</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9.8039215686274508E-2</v>
      </c>
      <c r="I14" s="402">
        <f>IF(ISNUMBER((Tasas!C14-Datos!BE14)/Datos!BE14),(Tasas!C14-Datos!BE14)/Datos!BE14," - ")</f>
        <v>-9.6669294442254611E-2</v>
      </c>
      <c r="J14" s="400">
        <f>IF(ISNUMBER((Tasas!D14-Datos!BF14)/Datos!BF14),(Tasas!D14-Datos!BF14)/Datos!BF14," - ")</f>
        <v>-0.33944113605130555</v>
      </c>
      <c r="K14" s="403">
        <f>IF(ISNUMBER((Tasas!E14-Datos!BG14)/Datos!BG14),(Tasas!E14-Datos!BG14)/Datos!BG14," - ")</f>
        <v>-3.7059456550982035E-2</v>
      </c>
      <c r="M14" t="e">
        <f>IF(Monitorios="SI",Datos!CE14,0)</f>
        <v>#REF!</v>
      </c>
      <c r="N14" t="e">
        <f>IF(Monitorios="SI",Datos!CF14,0)</f>
        <v>#REF!</v>
      </c>
      <c r="O14" t="e">
        <f>IF(Monitorios="SI",Datos!CG14,0)</f>
        <v>#REF!</v>
      </c>
      <c r="P14" t="e">
        <f>IF(Monitorios="SI",Datos!CH14,0)</f>
        <v>#REF!</v>
      </c>
      <c r="Q14">
        <f>IF(J_V="SI",0,Datos!AG14)</f>
        <v>40</v>
      </c>
      <c r="R14">
        <f>IF(J_V="SI",0,Datos!AH14)</f>
        <v>28</v>
      </c>
      <c r="S14">
        <f>IF(J_V="SI",0,Datos!AI14)</f>
        <v>19</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-2.3809523809523808E-2</v>
      </c>
      <c r="E17" s="393">
        <f>IF(ISNUMBER(
   IF(D_I="SI",(Datos!J17-Datos!T17)/Datos!T17,(Datos!J17+Datos!AD17-(Datos!T17+Datos!AL17))/(Datos!T17+Datos!AL17))
     ),IF(D_I="SI",(Datos!J17-Datos!T17)/Datos!T17,(Datos!J17+Datos!AD17-(Datos!T17+Datos!AL17))/(Datos!T17+Datos!AL17))," - ")</f>
        <v>0.59259259259259256</v>
      </c>
      <c r="F17" s="393">
        <f>IF(ISNUMBER(
   IF(D_I="SI",(Datos!K17-Datos!U17)/Datos!U17,(Datos!K17+Datos!AE17-(Datos!U17+Datos!AM17))/(Datos!U17+Datos!AM17))
     ),IF(D_I="SI",(Datos!K17-Datos!U17)/Datos!U17,(Datos!K17+Datos!AE17-(Datos!U17+Datos!AM17))/(Datos!U17+Datos!AM17))," - ")</f>
        <v>0.59685863874345546</v>
      </c>
      <c r="G17" s="394">
        <f>IF(ISNUMBER(
   IF(D_I="SI",(Datos!L17-Datos!V17)/Datos!V17,(Datos!L17+Datos!AF17-(Datos!V17+Datos!AN17))/(Datos!V17+Datos!AN17))
     ),IF(D_I="SI",(Datos!L17-Datos!V17)/Datos!V17,(Datos!L17+Datos!AF17-(Datos!V17+Datos!AN17))/(Datos!V17+Datos!AN17))," - ")</f>
        <v>-4.878048780487805E-2</v>
      </c>
      <c r="H17" s="244">
        <f>IF(ISNUMBER((Datos!M17-Datos!W17)/Datos!W17),(Datos!M17-Datos!W17)/Datos!W17," - ")</f>
        <v>6.8965517241379309E-2</v>
      </c>
      <c r="I17" s="395">
        <f>IF(ISNUMBER((Tasas!C17-Datos!BE17)/Datos!BE17),(Tasas!C17-Datos!BE17)/Datos!BE17," - ")</f>
        <v>-0.40431827269092369</v>
      </c>
      <c r="J17" s="394">
        <f>IF(ISNUMBER((Tasas!D17-Datos!BF17)/Datos!BF17),(Tasas!D17-Datos!BF17)/Datos!BF17," - ")</f>
        <v>-0.33058224985867718</v>
      </c>
      <c r="K17" s="396">
        <f>IF(ISNUMBER((Tasas!E17-Datos!BG17)/Datos!BG17),(Tasas!E17-Datos!BG17)/Datos!BG17," - ")</f>
        <v>-0.12144358373866569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v>
      </c>
      <c r="E18" s="393">
        <f>IF(ISNUMBER(
   IF(D_I="SI",(Datos!J18-Datos!T18)/Datos!T18,(Datos!J18+Datos!AD18-(Datos!T18+Datos!AL18))/(Datos!T18+Datos!AL18))
     ),IF(D_I="SI",(Datos!J18-Datos!T18)/Datos!T18,(Datos!J18+Datos!AD18-(Datos!T18+Datos!AL18))/(Datos!T18+Datos!AL18))," - ")</f>
        <v>0.6428571428571429</v>
      </c>
      <c r="F18" s="393">
        <f>IF(ISNUMBER(
   IF(D_I="SI",(Datos!K18-Datos!U18)/Datos!U18,(Datos!K18+Datos!AE18-(Datos!U18+Datos!AM18))/(Datos!U18+Datos!AM18))
     ),IF(D_I="SI",(Datos!K18-Datos!U18)/Datos!U18,(Datos!K18+Datos!AE18-(Datos!U18+Datos!AM18))/(Datos!U18+Datos!AM18))," - ")</f>
        <v>0.83333333333333337</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v>
      </c>
      <c r="I18" s="395">
        <f>IF(ISNUMBER((Tasas!C18-Datos!BE18)/Datos!BE18),(Tasas!C18-Datos!BE18)/Datos!BE18," - ")</f>
        <v>-0.27272727272727271</v>
      </c>
      <c r="J18" s="394">
        <f>IF(ISNUMBER((Tasas!D18-Datos!BF18)/Datos!BF18),(Tasas!D18-Datos!BF18)/Datos!BF18," - ")</f>
        <v>-0.45454545454545447</v>
      </c>
      <c r="K18" s="396">
        <f>IF(ISNUMBER((Tasas!E18-Datos!BG18)/Datos!BG18),(Tasas!E18-Datos!BG18)/Datos!BG18," - ")</f>
        <v>-5.4545454545454494E-2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0.59605911330049266</v>
      </c>
      <c r="F23" s="399">
        <f>IF(ISNUMBER(
   IF(D_I="SI",(Datos!K23-Datos!U23)/Datos!U23,(Datos!K23+Datos!AE23-(Datos!U23+Datos!AM23))/(Datos!U23+Datos!AM23))
     ),IF(D_I="SI",(Datos!K23-Datos!U23)/Datos!U23,(Datos!K23+Datos!AE23-(Datos!U23+Datos!AM23))/(Datos!U23+Datos!AM23))," - ")</f>
        <v>0.61083743842364535</v>
      </c>
      <c r="G23" s="400">
        <f>IF(ISNUMBER(
   IF(D_I="SI",(Datos!L23-Datos!V23)/Datos!V23,(Datos!L23+Datos!AF23-(Datos!V23+Datos!AN23))/(Datos!V23+Datos!AN23))
     ),IF(D_I="SI",(Datos!L23-Datos!V23)/Datos!V23,(Datos!L23+Datos!AF23-(Datos!V23+Datos!AN23))/(Datos!V23+Datos!AN23))," - ")</f>
        <v>-3.5294117647058823E-2</v>
      </c>
      <c r="H23" s="401">
        <f>IF(ISNUMBER((Datos!M23-Datos!W23)/Datos!W23),(Datos!M23-Datos!W23)/Datos!W23," - ")</f>
        <v>6.4516129032258063E-2</v>
      </c>
      <c r="I23" s="402">
        <f>IF(ISNUMBER((Tasas!C23-Datos!BE23)/Datos!BE23),(Tasas!C23-Datos!BE23)/Datos!BE23," - ")</f>
        <v>-0.40111530850872462</v>
      </c>
      <c r="J23" s="400">
        <f>IF(ISNUMBER((Tasas!D23-Datos!BF23)/Datos!BF23),(Tasas!D23-Datos!BF23)/Datos!BF23," - ")</f>
        <v>-0.33915359573838416</v>
      </c>
      <c r="K23" s="403">
        <f>IF(ISNUMBER((Tasas!E23-Datos!BG23)/Datos!BG23),(Tasas!E23-Datos!BG23)/Datos!BG23," - ")</f>
        <v>-0.11838472646958891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5.3278688524590161E-2</v>
      </c>
      <c r="E31" s="409">
        <f>IF(ISNUMBER(
   IF(J_V="SI",(Datos!J31-Datos!T31)/Datos!T31,(Datos!J31+Datos!Z31-(Datos!T31+Datos!AH31))/(Datos!T31+Datos!AH31))
     ),IF(J_V="SI",(Datos!J31-Datos!T31)/Datos!T31,(Datos!J31+Datos!Z31-(Datos!T31+Datos!AH31))/(Datos!T31+Datos!AH31))," - ")</f>
        <v>0.34834123222748814</v>
      </c>
      <c r="F31" s="409">
        <f>IF(ISNUMBER(
   IF(J_V="SI",(Datos!K31-Datos!U31)/Datos!U31,(Datos!K31+Datos!AA31-(Datos!U31+Datos!AI31))/(Datos!U31+Datos!AI31))
     ),IF(J_V="SI",(Datos!K31-Datos!U31)/Datos!U31,(Datos!K31+Datos!AA31-(Datos!U31+Datos!AI31))/(Datos!U31+Datos!AI31))," - ")</f>
        <v>0.37652811735941322</v>
      </c>
      <c r="G31" s="410">
        <f>IF(ISNUMBER(
   IF(J_V="SI",(Datos!L31-Datos!V31)/Datos!V31,(Datos!L31+Datos!AB31-(Datos!V31+Datos!AJ31))/(Datos!V31+Datos!AJ31))
     ),IF(J_V="SI",(Datos!L31-Datos!V31)/Datos!V31,(Datos!L31+Datos!AB31-(Datos!V31+Datos!AJ31))/(Datos!V31+Datos!AJ31))," - ")</f>
        <v>1.1673151750972763E-2</v>
      </c>
      <c r="H31" s="411">
        <f>IF(ISNUMBER((Datos!M31-Datos!W31)/Datos!W31),(Datos!M31-Datos!W31)/Datos!W31," - ")</f>
        <v>8.5365853658536592E-2</v>
      </c>
      <c r="I31" s="408">
        <f>IF(ISNUMBER((Tasas!C31-Datos!BE31)/Datos!BE31),(Tasas!C31-Datos!BE31)/Datos!BE31," - ")</f>
        <v>-0.26505449544201087</v>
      </c>
      <c r="J31" s="409">
        <f>IF(ISNUMBER((Tasas!D31-Datos!BF31)/Datos!BF31),(Tasas!D31-Datos!BF31)/Datos!BF31," - ")</f>
        <v>-0.38423411993571854</v>
      </c>
      <c r="K31" s="410">
        <f>IF(ISNUMBER((Tasas!E31-Datos!BG31)/Datos!BG31),(Tasas!E31-Datos!BG31)/Datos!BG31," - ")</f>
        <v>-9.9008422276628358E-2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1.1616347591566929</v>
      </c>
      <c r="E33" s="303">
        <f t="shared" si="1"/>
        <v>0.80557764204309668</v>
      </c>
      <c r="F33" s="303">
        <f t="shared" si="1"/>
        <v>0.13267762388180998</v>
      </c>
      <c r="G33" s="304">
        <f t="shared" si="1"/>
        <v>0.18184594531802128</v>
      </c>
      <c r="H33" s="310">
        <f t="shared" si="1"/>
        <v>4.0062389290972097E-2</v>
      </c>
      <c r="I33" s="302">
        <f t="shared" si="1"/>
        <v>0.15342003029689635</v>
      </c>
      <c r="J33" s="303">
        <f t="shared" si="1"/>
        <v>5.2635899595889678E-2</v>
      </c>
      <c r="K33" s="304">
        <f t="shared" si="1"/>
        <v>4.2853473118965535E-2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Iw/Txie4EQRu42oNb3s4FdUfLIPQld/3177vehsWHMe/D/3Gt3diRcque6rnTcc/OX0szPk9y+BdQWg2Mem0Q==" saltValue="YojUD6dNjhrn6jXs5ZgWe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